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tables/table4.xml" ContentType="application/vnd.openxmlformats-officedocument.spreadsheetml.table+xml"/>
  <Override PartName="/xl/worksheets/sheet7.xml" ContentType="application/vnd.openxmlformats-officedocument.spreadsheetml.worksheet+xml"/>
  <Override PartName="/xl/tables/table5.xml" ContentType="application/vnd.openxmlformats-officedocument.spreadsheetml.table+xml"/>
  <Override PartName="/xl/worksheets/sheet8.xml" ContentType="application/vnd.openxmlformats-officedocument.spreadsheetml.worksheet+xml"/>
  <Override PartName="/xl/tables/table6.xml" ContentType="application/vnd.openxmlformats-officedocument.spreadsheetml.table+xml"/>
  <Override PartName="/xl/worksheets/sheet9.xml" ContentType="application/vnd.openxmlformats-officedocument.spreadsheetml.worksheet+xml"/>
  <Override PartName="/xl/tables/table7.xml" ContentType="application/vnd.openxmlformats-officedocument.spreadsheetml.table+xml"/>
  <Override PartName="/xl/worksheets/sheet10.xml" ContentType="application/vnd.openxmlformats-officedocument.spreadsheetml.worksheet+xml"/>
  <Override PartName="/xl/tables/table8.xml" ContentType="application/vnd.openxmlformats-officedocument.spreadsheetml.table+xml"/>
  <Override PartName="/xl/worksheets/sheet11.xml" ContentType="application/vnd.openxmlformats-officedocument.spreadsheetml.worksheet+xml"/>
  <Override PartName="/xl/worksheets/sheet12.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Dashboard" sheetId="2" state="visible" r:id="rId2"/>
    <sheet xmlns:r="http://schemas.openxmlformats.org/officeDocument/2006/relationships" name="Objectives" sheetId="3" state="visible" r:id="rId3"/>
    <sheet xmlns:r="http://schemas.openxmlformats.org/officeDocument/2006/relationships" name="Relationships" sheetId="4" state="visible" r:id="rId4"/>
    <sheet xmlns:r="http://schemas.openxmlformats.org/officeDocument/2006/relationships" name="Priorities" sheetId="5" state="visible" r:id="rId5"/>
    <sheet xmlns:r="http://schemas.openxmlformats.org/officeDocument/2006/relationships" name="Actions" sheetId="6" state="visible" r:id="rId6"/>
    <sheet xmlns:r="http://schemas.openxmlformats.org/officeDocument/2006/relationships" name="Milestones" sheetId="7" state="visible" r:id="rId7"/>
    <sheet xmlns:r="http://schemas.openxmlformats.org/officeDocument/2006/relationships" name="Risks" sheetId="8" state="visible" r:id="rId8"/>
    <sheet xmlns:r="http://schemas.openxmlformats.org/officeDocument/2006/relationships" name="Escalations" sheetId="9" state="visible" r:id="rId9"/>
    <sheet xmlns:r="http://schemas.openxmlformats.org/officeDocument/2006/relationships" name="Quarterly Review" sheetId="10" state="visible" r:id="rId10"/>
    <sheet xmlns:r="http://schemas.openxmlformats.org/officeDocument/2006/relationships" name="Definitions" sheetId="11" state="visible" r:id="rId11"/>
    <sheet xmlns:r="http://schemas.openxmlformats.org/officeDocument/2006/relationships" name="Lists" sheetId="12" state="visible" r:id="rId12"/>
  </sheets>
  <definedNames>
    <definedName name="lstObjType">Lists!$A$6:$A$10</definedName>
    <definedName name="lstObjStatus">Lists!$B$6:$B$11</definedName>
    <definedName name="lstLevel">Lists!$C$6:$C$13</definedName>
    <definedName name="lstTier">Lists!$D$6:$D$9</definedName>
    <definedName name="lstPosture">Lists!$E$6:$E$9</definedName>
    <definedName name="lstHealth">Lists!$F$6:$F$10</definedName>
    <definedName name="lstTrack">Lists!$G$6:$G$7</definedName>
    <definedName name="lstItemType">Lists!$H$6:$H$13</definedName>
    <definedName name="lstPosition">Lists!$I$6:$I$11</definedName>
    <definedName name="lstStage">Lists!$J$6:$J$12</definedName>
    <definedName name="lstClearance">Lists!$K$6:$K$9</definedName>
    <definedName name="lstActionType">Lists!$L$6:$L$15</definedName>
    <definedName name="lstActionStatus">Lists!$M$6:$M$10</definedName>
    <definedName name="lstMsType">Lists!$N$6:$N$9</definedName>
    <definedName name="lstMsStatus">Lists!$O$6:$O$10</definedName>
    <definedName name="lstYesNo">Lists!$P$6:$P$7</definedName>
    <definedName name="lstRiskCat">Lists!$Q$6:$Q$13</definedName>
    <definedName name="lstLevel3">Lists!$R$6:$R$8</definedName>
    <definedName name="lstRiskStatus">Lists!$S$6:$S$10</definedName>
    <definedName name="lstEscLevel">Lists!$T$6:$T$10</definedName>
    <definedName name="lstEscTo">Lists!$U$6:$U$9</definedName>
    <definedName name="lstQuarter">Lists!$V$6:$V$9</definedName>
    <definedName name="lstStatusRank">Lists!$W$6:$W$9</definedName>
    <definedName name="lstCadence">Lists!$X$6:$X$11</definedName>
    <definedName name="lstCadenceDays">Lists!$Y$6:$Y$11</definedName>
    <definedName name="lstPeople">OFFSET(Lists!$Z$5,1,0,MAX(1,COUNTA(Lists!$Z$6:$Z$65)),1)</definedName>
    <definedName name="OrgName">Instructions!$C$5</definedName>
    <definedName name="OfficeName">Instructions!$C$6</definedName>
    <definedName name="PlanYear">Instructions!$C$7</definedName>
    <definedName name="StartMonth">Instructions!$C$8</definedName>
    <definedName name="AsOfInput">Instructions!$C$9</definedName>
    <definedName name="ReviewDays">Instructions!$C$10</definedName>
    <definedName name="AsOf">Instructions!$C$11</definedName>
    <definedName name="rngObjIDs">OFFSET('Objectives'!$A$5,1,0,MAX(1,SUMPRODUCT(MAX(('Objectives'!$A$6:$A$17&lt;&gt;"")*(ROW('Objectives'!$A$6:$A$17)-5)))),1)</definedName>
    <definedName name="rngRelIDs">OFFSET('Relationships'!$A$5,1,0,MAX(1,SUMPRODUCT(MAX(('Relationships'!$A$6:$A$29&lt;&gt;"")*(ROW('Relationships'!$A$6:$A$29)-5)))),1)</definedName>
    <definedName name="rngPriIDs">OFFSET('Priorities'!$A$5,1,0,MAX(1,SUMPRODUCT(MAX(('Priorities'!$A$6:$A$24&lt;&gt;"")*(ROW('Priorities'!$A$6:$A$24)-5)))),1)</definedName>
    <definedName name="rngMsIDs">OFFSET('Milestones'!$A$5,1,0,MAX(1,SUMPRODUCT(MAX(('Milestones'!$A$6:$A$53&lt;&gt;"")*(ROW('Milestones'!$A$6:$A$53)-5)))),1)</definedName>
    <definedName name="rngRiskIDs">OFFSET('Risks'!$A$5,1,0,MAX(1,SUMPRODUCT(MAX(('Risks'!$A$6:$A$25&lt;&gt;"")*(ROW('Risks'!$A$6:$A$25)-5)))),1)</definedName>
    <definedName name="_xlnm.Print_Area" localSheetId="1">'Dashboard'!$A$1:$N$110</definedName>
    <definedName name="_xlnm.Print_Titles" localSheetId="2">'Objectives'!$5:$5</definedName>
    <definedName name="_xlnm.Print_Titles" localSheetId="3">'Relationships'!$5:$5</definedName>
    <definedName name="_xlnm.Print_Titles" localSheetId="4">'Priorities'!$5:$5</definedName>
    <definedName name="_xlnm.Print_Titles" localSheetId="5">'Actions'!$5:$5</definedName>
    <definedName name="_xlnm.Print_Titles" localSheetId="6">'Milestones'!$5:$5</definedName>
    <definedName name="_xlnm.Print_Titles" localSheetId="7">'Risks'!$5:$5</definedName>
    <definedName name="_xlnm.Print_Titles" localSheetId="8">'Escalations'!$5:$5</definedName>
    <definedName name="_xlnm.Print_Titles" localSheetId="9">'Quarterly Review'!$5:$5</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18">
    <font>
      <name val="Calibri"/>
      <family val="2"/>
      <color theme="1"/>
      <sz val="11"/>
      <scheme val="minor"/>
    </font>
    <font>
      <name val="Arial"/>
      <color rgb="00192E43"/>
      <sz val="10"/>
    </font>
    <font>
      <name val="Arial"/>
      <b val="1"/>
      <color rgb="00192E43"/>
      <sz val="16"/>
    </font>
    <font>
      <name val="Arial"/>
      <color rgb="0052606D"/>
      <sz val="10"/>
    </font>
    <font>
      <name val="Arial"/>
      <i val="1"/>
      <color rgb="0052606D"/>
      <sz val="9"/>
    </font>
    <font>
      <name val="Arial"/>
      <b val="1"/>
      <color rgb="00FFFFFF"/>
      <sz val="10"/>
    </font>
    <font>
      <name val="Arial"/>
      <i val="1"/>
      <color rgb="0052606D"/>
      <sz val="8"/>
    </font>
    <font>
      <name val="Arial"/>
      <b val="1"/>
      <color rgb="00192E43"/>
      <sz val="18"/>
    </font>
    <font>
      <name val="Arial"/>
      <b val="1"/>
      <color rgb="00A93632"/>
      <sz val="10"/>
    </font>
    <font>
      <name val="Arial"/>
      <b val="1"/>
      <color rgb="00192E43"/>
      <sz val="10"/>
    </font>
    <font>
      <name val="Arial"/>
      <color rgb="000000FF"/>
      <sz val="10"/>
    </font>
    <font>
      <name val="Arial"/>
      <color rgb="0052606D"/>
      <sz val="9"/>
    </font>
    <font>
      <name val="Arial"/>
      <b val="1"/>
      <color rgb="0052606D"/>
      <sz val="9"/>
    </font>
    <font>
      <name val="Arial"/>
      <color rgb="00A93632"/>
      <sz val="10"/>
    </font>
    <font>
      <name val="Arial"/>
      <i val="1"/>
      <color rgb="00A93632"/>
      <sz val="9"/>
    </font>
    <font>
      <name val="Arial"/>
      <b val="1"/>
      <color rgb="0052606D"/>
      <sz val="8"/>
    </font>
    <font>
      <name val="Arial"/>
      <b val="1"/>
      <color rgb="00192E43"/>
      <sz val="26"/>
    </font>
    <font>
      <name val="Arial"/>
      <color rgb="00192E43"/>
      <sz val="9"/>
    </font>
  </fonts>
  <fills count="6">
    <fill>
      <patternFill/>
    </fill>
    <fill>
      <patternFill patternType="gray125"/>
    </fill>
    <fill>
      <patternFill patternType="solid">
        <fgColor rgb="00192E43"/>
        <bgColor rgb="00192E43"/>
      </patternFill>
    </fill>
    <fill>
      <patternFill patternType="solid">
        <fgColor rgb="0052606D"/>
        <bgColor rgb="0052606D"/>
      </patternFill>
    </fill>
    <fill>
      <patternFill patternType="solid">
        <fgColor rgb="00F2F4F6"/>
        <bgColor rgb="00F2F4F6"/>
      </patternFill>
    </fill>
    <fill>
      <patternFill patternType="solid">
        <fgColor rgb="00FFF9DB"/>
        <bgColor rgb="00FFF9DB"/>
      </patternFill>
    </fill>
  </fills>
  <borders count="8">
    <border>
      <left/>
      <right/>
      <top/>
      <bottom/>
      <diagonal/>
    </border>
    <border>
      <bottom style="hair">
        <color rgb="00D5DAE0"/>
      </bottom>
    </border>
    <border>
      <left style="thin">
        <color rgb="00D5DAE0"/>
      </left>
      <right style="thin">
        <color rgb="00D5DAE0"/>
      </right>
      <top style="thin">
        <color rgb="00D5DAE0"/>
      </top>
      <bottom style="thin">
        <color rgb="00D5DAE0"/>
      </bottom>
    </border>
    <border>
      <bottom style="thin">
        <color rgb="00D5DAE0"/>
      </bottom>
    </border>
    <border>
      <top style="medium">
        <color rgb="00192E43"/>
      </top>
    </border>
    <border>
      <left/>
      <right/>
      <top style="medium">
        <color rgb="00192E43"/>
      </top>
      <bottom/>
      <diagonal/>
    </border>
    <border>
      <left/>
      <right/>
      <top/>
      <bottom style="thin">
        <color rgb="00D5DAE0"/>
      </bottom>
      <diagonal/>
    </border>
    <border>
      <top style="thin">
        <color rgb="00D5DAE0"/>
      </top>
    </border>
  </borders>
  <cellStyleXfs count="1">
    <xf numFmtId="0" fontId="1" fillId="0" borderId="0"/>
  </cellStyleXfs>
  <cellXfs count="60">
    <xf numFmtId="0" fontId="0" fillId="0" borderId="0" pivotButton="0" quotePrefix="0" xfId="0"/>
    <xf numFmtId="0" fontId="7" fillId="0" borderId="0" pivotButton="0" quotePrefix="0" xfId="0"/>
    <xf numFmtId="0" fontId="8" fillId="0" borderId="0" pivotButton="0" quotePrefix="0" xfId="0"/>
    <xf numFmtId="0" fontId="5" fillId="2" borderId="0" pivotButton="0" quotePrefix="0" xfId="0"/>
    <xf numFmtId="0" fontId="0" fillId="2" borderId="0" pivotButton="0" quotePrefix="0" xfId="0"/>
    <xf numFmtId="0" fontId="9" fillId="0" borderId="0" pivotButton="0" quotePrefix="0" xfId="0"/>
    <xf numFmtId="0" fontId="10" fillId="5" borderId="2" applyAlignment="1" pivotButton="0" quotePrefix="0" xfId="0">
      <alignment horizontal="left"/>
    </xf>
    <xf numFmtId="0" fontId="11" fillId="0" borderId="0" applyAlignment="1" pivotButton="0" quotePrefix="0" xfId="0">
      <alignment vertical="top" wrapText="1"/>
    </xf>
    <xf numFmtId="1" fontId="10" fillId="5" borderId="2" applyAlignment="1" pivotButton="0" quotePrefix="0" xfId="0">
      <alignment horizontal="left"/>
    </xf>
    <xf numFmtId="165" fontId="10" fillId="5" borderId="2" applyAlignment="1" pivotButton="0" quotePrefix="0" xfId="0">
      <alignment horizontal="left"/>
    </xf>
    <xf numFmtId="165" fontId="1" fillId="4" borderId="0" applyAlignment="1" pivotButton="0" quotePrefix="0" xfId="0">
      <alignment horizontal="left"/>
    </xf>
    <xf numFmtId="0" fontId="11" fillId="0" borderId="0" pivotButton="0" quotePrefix="0" xfId="0"/>
    <xf numFmtId="0" fontId="8" fillId="0" borderId="0" applyAlignment="1" pivotButton="0" quotePrefix="0" xfId="0">
      <alignment vertical="top"/>
    </xf>
    <xf numFmtId="0" fontId="1" fillId="0" borderId="0" applyAlignment="1" pivotButton="0" quotePrefix="0" xfId="0">
      <alignment vertical="top" wrapText="1"/>
    </xf>
    <xf numFmtId="0" fontId="12" fillId="0" borderId="3" pivotButton="0" quotePrefix="0" xfId="0"/>
    <xf numFmtId="0" fontId="9" fillId="0" borderId="1" applyAlignment="1" pivotButton="0" quotePrefix="0" xfId="0">
      <alignment vertical="top" wrapText="1"/>
    </xf>
    <xf numFmtId="0" fontId="1" fillId="0" borderId="1" applyAlignment="1" pivotButton="0" quotePrefix="0" xfId="0">
      <alignment vertical="top" wrapText="1"/>
    </xf>
    <xf numFmtId="0" fontId="13" fillId="0" borderId="0" applyAlignment="1" pivotButton="0" quotePrefix="0" xfId="0">
      <alignment horizontal="right" vertical="top"/>
    </xf>
    <xf numFmtId="0" fontId="3" fillId="0" borderId="0" pivotButton="0" quotePrefix="0" xfId="0"/>
    <xf numFmtId="0" fontId="14" fillId="0" borderId="0" pivotButton="0" quotePrefix="0" xfId="0"/>
    <xf numFmtId="0" fontId="15" fillId="4" borderId="4" applyAlignment="1" pivotButton="0" quotePrefix="0" xfId="0">
      <alignment horizontal="left" vertical="center" wrapText="1"/>
    </xf>
    <xf numFmtId="0" fontId="0" fillId="0" borderId="5" pivotButton="0" quotePrefix="0" xfId="0"/>
    <xf numFmtId="0" fontId="16" fillId="4" borderId="0" applyAlignment="1" pivotButton="0" quotePrefix="0" xfId="0">
      <alignment horizontal="left" vertical="center"/>
    </xf>
    <xf numFmtId="0" fontId="11" fillId="4" borderId="0" applyAlignment="1" pivotButton="0" quotePrefix="0" xfId="0">
      <alignment horizontal="left" vertical="center"/>
    </xf>
    <xf numFmtId="0" fontId="12" fillId="0" borderId="3" applyAlignment="1" pivotButton="0" quotePrefix="0" xfId="0">
      <alignment vertical="bottom" wrapText="1"/>
    </xf>
    <xf numFmtId="0" fontId="0" fillId="0" borderId="6" pivotButton="0" quotePrefix="0" xfId="0"/>
    <xf numFmtId="0" fontId="9" fillId="0" borderId="1" applyAlignment="1" pivotButton="0" quotePrefix="0" xfId="0">
      <alignment vertical="top"/>
    </xf>
    <xf numFmtId="0" fontId="1" fillId="0" borderId="1" applyAlignment="1" pivotButton="0" quotePrefix="0" xfId="0">
      <alignment horizontal="left" vertical="top" wrapText="1"/>
    </xf>
    <xf numFmtId="0" fontId="0" fillId="0" borderId="1" pivotButton="0" quotePrefix="0" xfId="0"/>
    <xf numFmtId="0" fontId="9" fillId="0" borderId="1" applyAlignment="1" pivotButton="0" quotePrefix="0" xfId="0">
      <alignment horizontal="left" vertical="top" wrapText="1"/>
    </xf>
    <xf numFmtId="165" fontId="1" fillId="0" borderId="1" applyAlignment="1" pivotButton="0" quotePrefix="0" xfId="0">
      <alignment horizontal="left" vertical="top" wrapText="1"/>
    </xf>
    <xf numFmtId="9" fontId="1" fillId="0" borderId="1" applyAlignment="1" pivotButton="0" quotePrefix="0" xfId="0">
      <alignment horizontal="left" vertical="top"/>
    </xf>
    <xf numFmtId="0" fontId="1" fillId="0" borderId="1" applyAlignment="1" pivotButton="0" quotePrefix="0" xfId="0">
      <alignment horizontal="left" vertical="top"/>
    </xf>
    <xf numFmtId="0" fontId="4" fillId="0" borderId="0" pivotButton="0" quotePrefix="0" xfId="0"/>
    <xf numFmtId="0" fontId="9" fillId="0" borderId="1" pivotButton="0" quotePrefix="0" xfId="0"/>
    <xf numFmtId="0" fontId="1" fillId="0" borderId="1" applyAlignment="1" pivotButton="0" quotePrefix="0" xfId="0">
      <alignment horizontal="left"/>
    </xf>
    <xf numFmtId="0" fontId="9" fillId="0" borderId="7" pivotButton="0" quotePrefix="0" xfId="0"/>
    <xf numFmtId="0" fontId="9" fillId="0" borderId="7" applyAlignment="1" pivotButton="0" quotePrefix="0" xfId="0">
      <alignment horizontal="left"/>
    </xf>
    <xf numFmtId="0" fontId="9" fillId="0" borderId="0" applyAlignment="1" pivotButton="0" quotePrefix="0" xfId="0">
      <alignment horizontal="left"/>
    </xf>
    <xf numFmtId="0" fontId="9" fillId="0" borderId="1" applyAlignment="1" pivotButton="0" quotePrefix="0" xfId="0">
      <alignment horizontal="left"/>
    </xf>
    <xf numFmtId="0" fontId="0" fillId="0" borderId="7" pivotButton="0" quotePrefix="0" xfId="0"/>
    <xf numFmtId="0" fontId="4" fillId="0" borderId="0" applyAlignment="1" pivotButton="0" quotePrefix="0" xfId="0">
      <alignment vertical="top" wrapText="1"/>
    </xf>
    <xf numFmtId="0" fontId="17" fillId="0" borderId="1" applyAlignment="1" pivotButton="0" quotePrefix="0" xfId="0">
      <alignment horizontal="left" vertical="top" wrapText="1"/>
    </xf>
    <xf numFmtId="0" fontId="9" fillId="0" borderId="0" applyAlignment="1" pivotButton="0" quotePrefix="0" xfId="0">
      <alignment vertical="top" wrapText="1"/>
    </xf>
    <xf numFmtId="0" fontId="1" fillId="0" borderId="0" applyAlignment="1" pivotButton="0" quotePrefix="0" xfId="0">
      <alignment horizontal="left"/>
    </xf>
    <xf numFmtId="0" fontId="1" fillId="0" borderId="1" pivotButton="0" quotePrefix="0" xfId="0"/>
    <xf numFmtId="0" fontId="2" fillId="0" borderId="0" pivotButton="0" quotePrefix="0" xfId="0"/>
    <xf numFmtId="0" fontId="5" fillId="2" borderId="0" applyAlignment="1" pivotButton="0" quotePrefix="0" xfId="0">
      <alignment horizontal="left" vertical="center" wrapText="1"/>
    </xf>
    <xf numFmtId="0" fontId="5" fillId="3" borderId="0" applyAlignment="1" pivotButton="0" quotePrefix="0" xfId="0">
      <alignment horizontal="left" vertical="center" wrapText="1"/>
    </xf>
    <xf numFmtId="0" fontId="1" fillId="0" borderId="1" applyAlignment="1" pivotButton="0" quotePrefix="0" xfId="0">
      <alignment horizontal="left" vertical="top"/>
    </xf>
    <xf numFmtId="165" fontId="1" fillId="0" borderId="1" applyAlignment="1" pivotButton="0" quotePrefix="0" xfId="0">
      <alignment horizontal="left" vertical="top"/>
    </xf>
    <xf numFmtId="1" fontId="1" fillId="4" borderId="1" applyAlignment="1" pivotButton="0" quotePrefix="0" xfId="0">
      <alignment horizontal="left" vertical="top" wrapText="1"/>
    </xf>
    <xf numFmtId="9" fontId="1" fillId="4" borderId="1" applyAlignment="1" pivotButton="0" quotePrefix="0" xfId="0">
      <alignment horizontal="left" vertical="top" wrapText="1"/>
    </xf>
    <xf numFmtId="0" fontId="1" fillId="4" borderId="1" applyAlignment="1" pivotButton="0" quotePrefix="0" xfId="0">
      <alignment horizontal="left" vertical="top" wrapText="1"/>
    </xf>
    <xf numFmtId="165" fontId="1" fillId="4" borderId="1" applyAlignment="1" pivotButton="0" quotePrefix="0" xfId="0">
      <alignment horizontal="left" vertical="top" wrapText="1"/>
    </xf>
    <xf numFmtId="0" fontId="1" fillId="4" borderId="1" applyAlignment="1" pivotButton="0" quotePrefix="0" xfId="0">
      <alignment horizontal="center" vertical="top" wrapText="1"/>
    </xf>
    <xf numFmtId="0" fontId="1" fillId="0" borderId="1" applyAlignment="1" pivotButton="0" quotePrefix="0" xfId="0">
      <alignment horizontal="center" vertical="top"/>
    </xf>
    <xf numFmtId="0" fontId="5" fillId="2" borderId="0" applyAlignment="1" pivotButton="0" quotePrefix="0" xfId="0">
      <alignment horizontal="left"/>
    </xf>
    <xf numFmtId="0" fontId="1" fillId="0" borderId="0" pivotButton="0" quotePrefix="0" xfId="0"/>
    <xf numFmtId="0" fontId="6" fillId="0" borderId="0" pivotButton="0" quotePrefix="0" xfId="0"/>
  </cellXfs>
  <cellStyles count="1">
    <cellStyle name="Normal" xfId="0" builtinId="0" hidden="0"/>
  </cellStyles>
  <dxfs count="12">
    <dxf>
      <font>
        <name val="Arial"/>
        <b val="1"/>
        <color rgb="00A93632"/>
        <sz val="26"/>
      </font>
    </dxf>
    <dxf>
      <font>
        <name val="Arial"/>
        <color rgb="001E5B34"/>
      </font>
      <fill>
        <patternFill patternType="solid">
          <fgColor rgb="00E3F1E7"/>
          <bgColor rgb="00E3F1E7"/>
        </patternFill>
      </fill>
    </dxf>
    <dxf>
      <font>
        <name val="Arial"/>
        <b val="1"/>
        <color rgb="00192E43"/>
      </font>
      <fill>
        <patternFill patternType="solid">
          <fgColor rgb="00F2F4F6"/>
          <bgColor rgb="00F2F4F6"/>
        </patternFill>
      </fill>
    </dxf>
    <dxf>
      <font>
        <name val="Arial"/>
        <b val="1"/>
        <color rgb="007A4B00"/>
      </font>
      <fill>
        <patternFill patternType="solid">
          <fgColor rgb="00FBEFD5"/>
          <bgColor rgb="00FBEFD5"/>
        </patternFill>
      </fill>
    </dxf>
    <dxf>
      <font>
        <name val="Arial"/>
        <b val="1"/>
        <color rgb="008E2B28"/>
      </font>
      <fill>
        <patternFill patternType="solid">
          <fgColor rgb="00F6DEDC"/>
          <bgColor rgb="00F6DEDC"/>
        </patternFill>
      </fill>
    </dxf>
    <dxf>
      <font>
        <name val="Arial"/>
        <color rgb="0052606D"/>
      </font>
      <fill>
        <patternFill patternType="solid">
          <fgColor rgb="00FFFFFF"/>
          <bgColor rgb="00FFFFFF"/>
        </patternFill>
      </fill>
    </dxf>
    <dxf>
      <font>
        <name val="Arial"/>
        <color rgb="0052606D"/>
      </font>
      <fill>
        <patternFill patternType="solid">
          <fgColor rgb="00F2F4F6"/>
          <bgColor rgb="00F2F4F6"/>
        </patternFill>
      </fill>
    </dxf>
    <dxf>
      <font>
        <name val="Arial"/>
        <b val="1"/>
        <color rgb="008E2B28"/>
      </font>
    </dxf>
    <dxf>
      <font>
        <name val="Arial"/>
        <b val="1"/>
        <color rgb="001E5B34"/>
      </font>
      <fill>
        <patternFill patternType="solid">
          <fgColor rgb="00E3F1E7"/>
          <bgColor rgb="00E3F1E7"/>
        </patternFill>
      </fill>
    </dxf>
    <dxf>
      <font>
        <name val="Arial"/>
        <color rgb="007A4B00"/>
      </font>
      <fill>
        <patternFill patternType="solid">
          <fgColor rgb="00FBEFD5"/>
          <bgColor rgb="00FBEFD5"/>
        </patternFill>
      </fill>
    </dxf>
    <dxf>
      <font>
        <name val="Arial"/>
        <color rgb="00192E43"/>
      </font>
      <fill>
        <patternFill patternType="solid">
          <fgColor rgb="00FFFFFF"/>
          <bgColor rgb="00FFFFFF"/>
        </patternFill>
      </fill>
    </dxf>
    <dxf>
      <font>
        <name val="Arial"/>
        <color rgb="008E2B28"/>
      </font>
      <fill>
        <patternFill patternType="solid">
          <fgColor rgb="00F6DEDC"/>
          <bgColor rgb="00F6DED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harts/chart1.xml><?xml version="1.0" encoding="utf-8"?>
<chartSpace xmlns="http://schemas.openxmlformats.org/drawingml/2006/chart">
  <style val="2"/>
  <chart>
    <title>
      <tx>
        <rich>
          <a:bodyPr xmlns:a="http://schemas.openxmlformats.org/drawingml/2006/main"/>
          <a:p xmlns:a="http://schemas.openxmlformats.org/drawingml/2006/main">
            <a:pPr>
              <a:defRPr/>
            </a:pPr>
            <a:r>
              <a:t>Milestones by quarter</a:t>
            </a:r>
          </a:p>
        </rich>
      </tx>
    </title>
    <plotArea>
      <barChart>
        <barDir val="col"/>
        <grouping val="stacked"/>
        <ser>
          <idx val="0"/>
          <order val="0"/>
          <tx>
            <strRef>
              <f>'Dashboard'!D24</f>
            </strRef>
          </tx>
          <spPr>
            <a:solidFill xmlns:a="http://schemas.openxmlformats.org/drawingml/2006/main">
              <a:srgbClr val="192E43"/>
            </a:solidFill>
            <a:ln xmlns:a="http://schemas.openxmlformats.org/drawingml/2006/main">
              <a:solidFill>
                <a:srgbClr val="192E43"/>
              </a:solidFill>
              <a:prstDash val="solid"/>
            </a:ln>
          </spPr>
          <cat>
            <numRef>
              <f>'Dashboard'!$B$25:$B$28</f>
            </numRef>
          </cat>
          <val>
            <numRef>
              <f>'Dashboard'!$D$25:$D$28</f>
            </numRef>
          </val>
        </ser>
        <ser>
          <idx val="1"/>
          <order val="1"/>
          <tx>
            <strRef>
              <f>'Dashboard'!E24</f>
            </strRef>
          </tx>
          <spPr>
            <a:solidFill xmlns:a="http://schemas.openxmlformats.org/drawingml/2006/main">
              <a:srgbClr val="9AA7B4"/>
            </a:solidFill>
            <a:ln xmlns:a="http://schemas.openxmlformats.org/drawingml/2006/main">
              <a:solidFill>
                <a:srgbClr val="9AA7B4"/>
              </a:solidFill>
              <a:prstDash val="solid"/>
            </a:ln>
          </spPr>
          <cat>
            <numRef>
              <f>'Dashboard'!$B$25:$B$28</f>
            </numRef>
          </cat>
          <val>
            <numRef>
              <f>'Dashboard'!$E$25:$E$28</f>
            </numRef>
          </val>
        </ser>
        <ser>
          <idx val="2"/>
          <order val="2"/>
          <tx>
            <strRef>
              <f>'Dashboard'!F24</f>
            </strRef>
          </tx>
          <spPr>
            <a:solidFill xmlns:a="http://schemas.openxmlformats.org/drawingml/2006/main">
              <a:srgbClr val="A93632"/>
            </a:solidFill>
            <a:ln xmlns:a="http://schemas.openxmlformats.org/drawingml/2006/main">
              <a:solidFill>
                <a:srgbClr val="A93632"/>
              </a:solidFill>
              <a:prstDash val="solid"/>
            </a:ln>
          </spPr>
          <cat>
            <numRef>
              <f>'Dashboard'!$B$25:$B$28</f>
            </numRef>
          </cat>
          <val>
            <numRef>
              <f>'Dashboard'!$F$25:$F$28</f>
            </numRef>
          </val>
        </ser>
        <gapWidth val="150"/>
        <overlap val="100"/>
        <axId val="10"/>
        <axId val="100"/>
      </barChart>
      <catAx>
        <axId val="10"/>
        <scaling>
          <orientation val="minMax"/>
        </scaling>
        <delete val="0"/>
        <axPos val="l"/>
        <majorTickMark val="none"/>
        <minorTickMark val="none"/>
        <crossAx val="100"/>
        <lblOffset val="100"/>
      </catAx>
      <valAx>
        <axId val="100"/>
        <scaling>
          <orientation val="minMax"/>
        </scaling>
        <delete val="0"/>
        <axPos val="l"/>
        <title>
          <tx>
            <rich>
              <a:bodyPr xmlns:a="http://schemas.openxmlformats.org/drawingml/2006/main"/>
              <a:p xmlns:a="http://schemas.openxmlformats.org/drawingml/2006/main">
                <a:pPr>
                  <a:defRPr/>
                </a:pPr>
                <a:r>
                  <a:t>Milestones</a:t>
                </a:r>
              </a:p>
            </rich>
          </tx>
        </title>
        <majorTickMark val="none"/>
        <minorTickMark val="none"/>
        <crossAx val="10"/>
      </valAx>
    </plotArea>
    <legend>
      <legendPos val="b"/>
    </legend>
    <plotVisOnly val="1"/>
    <dispBlanksAs val="gap"/>
  </chart>
</chartSpace>
</file>

<file path=xl/charts/chart2.xml><?xml version="1.0" encoding="utf-8"?>
<chartSpace xmlns="http://schemas.openxmlformats.org/drawingml/2006/chart">
  <style val="2"/>
  <chart>
    <title>
      <tx>
        <rich>
          <a:bodyPr xmlns:a="http://schemas.openxmlformats.org/drawingml/2006/main"/>
          <a:p xmlns:a="http://schemas.openxmlformats.org/drawingml/2006/main">
            <a:pPr>
              <a:defRPr/>
            </a:pPr>
            <a:r>
              <a:t>Objectives by status</a:t>
            </a:r>
          </a:p>
        </rich>
      </tx>
    </title>
    <plotArea>
      <barChart>
        <barDir val="bar"/>
        <grouping val="clustered"/>
        <ser>
          <idx val="0"/>
          <order val="0"/>
          <tx>
            <strRef>
              <f>'Dashboard'!K24</f>
            </strRef>
          </tx>
          <spPr>
            <a:solidFill xmlns:a="http://schemas.openxmlformats.org/drawingml/2006/main">
              <a:srgbClr val="192E43"/>
            </a:solidFill>
            <a:ln xmlns:a="http://schemas.openxmlformats.org/drawingml/2006/main">
              <a:prstDash val="solid"/>
            </a:ln>
          </spPr>
          <cat>
            <numRef>
              <f>'Dashboard'!$I$25:$I$30</f>
            </numRef>
          </cat>
          <val>
            <numRef>
              <f>'Dashboard'!$K$25:$K$30</f>
            </numRef>
          </val>
        </ser>
        <dLbls>
          <showLegendKey val="0"/>
          <showVal val="1"/>
          <showCatName val="0"/>
          <showSerName val="0"/>
          <showPercent val="0"/>
        </dLbls>
        <gapWidth val="150"/>
        <axId val="10"/>
        <axId val="100"/>
      </barChart>
      <catAx>
        <axId val="10"/>
        <scaling>
          <orientation val="maxMin"/>
        </scaling>
        <delete val="0"/>
        <axPos val="l"/>
        <majorTickMark val="none"/>
        <minorTickMark val="none"/>
        <crossAx val="100"/>
        <lblOffset val="100"/>
      </catAx>
      <valAx>
        <axId val="100"/>
        <scaling>
          <orientation val="minMax"/>
        </scaling>
        <delete val="0"/>
        <axPos val="l"/>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1</col>
      <colOff>0</colOff>
      <row>32</row>
      <rowOff>0</rowOff>
    </from>
    <ext cx="5220000" cy="2232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8</col>
      <colOff>0</colOff>
      <row>33</row>
      <rowOff>0</rowOff>
    </from>
    <ext cx="4428000" cy="2232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ables/table1.xml><?xml version="1.0" encoding="utf-8"?>
<table xmlns="http://schemas.openxmlformats.org/spreadsheetml/2006/main" id="1" name="tblObjectives" displayName="tblObjectives" ref="A5:U17" headerRowCount="1">
  <autoFilter ref="A5:U17"/>
  <tableColumns count="21">
    <tableColumn id="1" name="ID"/>
    <tableColumn id="2" name="Objective"/>
    <tableColumn id="3" name="Type"/>
    <tableColumn id="4" name="Intended Outcome"/>
    <tableColumn id="5" name="Success Measure"/>
    <tableColumn id="6" name="Baseline"/>
    <tableColumn id="7" name="Target"/>
    <tableColumn id="8" name="Executive Priority"/>
    <tableColumn id="9" name="Lead"/>
    <tableColumn id="10" name="Support"/>
    <tableColumn id="11" name="Start Date"/>
    <tableColumn id="12" name="Target Date"/>
    <tableColumn id="13" name="Status"/>
    <tableColumn id="14" name="Status Note"/>
    <tableColumn id="15" name="Days to Target"/>
    <tableColumn id="16" name="Milestones"/>
    <tableColumn id="17" name="Milestones Complete"/>
    <tableColumn id="18" name="Percent Complete"/>
    <tableColumn id="19" name="Overdue Milestones"/>
    <tableColumn id="20" name="Open High Risks"/>
    <tableColumn id="21" name="Latest Review Status"/>
  </tableColumns>
  <tableStyleInfo name="TableStyleLight1" showRowStripes="0"/>
</table>
</file>

<file path=xl/tables/table2.xml><?xml version="1.0" encoding="utf-8"?>
<table xmlns="http://schemas.openxmlformats.org/spreadsheetml/2006/main" id="2" name="tblRelationships" displayName="tblRelationships" ref="A5:S29" headerRowCount="1">
  <autoFilter ref="A5:S29"/>
  <tableColumns count="19">
    <tableColumn id="1" name="ID"/>
    <tableColumn id="2" name="Government or Institution"/>
    <tableColumn id="3" name="Level"/>
    <tableColumn id="4" name="Key Contact"/>
    <tableColumn id="5" name="Contact Title"/>
    <tableColumn id="6" name="Our Lead"/>
    <tableColumn id="7" name="Tier"/>
    <tableColumn id="8" name="Posture"/>
    <tableColumn id="9" name="Relationship Health"/>
    <tableColumn id="10" name="What They Need From Us"/>
    <tableColumn id="11" name="What We Need From Them"/>
    <tableColumn id="12" name="Objective ID"/>
    <tableColumn id="13" name="Cadence"/>
    <tableColumn id="14" name="Notes"/>
    <tableColumn id="15" name="Cadence Days"/>
    <tableColumn id="16" name="Last Contact"/>
    <tableColumn id="17" name="Days Since Contact"/>
    <tableColumn id="18" name="Contact Status"/>
    <tableColumn id="19" name="Next Planned Contact"/>
  </tableColumns>
  <tableStyleInfo name="TableStyleLight1" showRowStripes="0"/>
</table>
</file>

<file path=xl/tables/table3.xml><?xml version="1.0" encoding="utf-8"?>
<table xmlns="http://schemas.openxmlformats.org/spreadsheetml/2006/main" id="3" name="tblPriorities" displayName="tblPriorities" ref="A5:U24" headerRowCount="1">
  <autoFilter ref="A5:U24"/>
  <tableColumns count="21">
    <tableColumn id="1" name="ID"/>
    <tableColumn id="2" name="Track"/>
    <tableColumn id="3" name="Item Type"/>
    <tableColumn id="4" name="Measure or Matter"/>
    <tableColumn id="5" name="Body or Agency"/>
    <tableColumn id="6" name="Level"/>
    <tableColumn id="7" name="Our Position"/>
    <tableColumn id="8" name="Objective ID"/>
    <tableColumn id="9" name="Lead"/>
    <tableColumn id="10" name="Stage"/>
    <tableColumn id="11" name="Clearance"/>
    <tableColumn id="12" name="Next Key Date"/>
    <tableColumn id="13" name="Key Date Description"/>
    <tableColumn id="14" name="Desired Outcome"/>
    <tableColumn id="15" name="Notes"/>
    <tableColumn id="16" name="Days to Key Date"/>
    <tableColumn id="17" name="Date Flag"/>
    <tableColumn id="18" name="Open"/>
    <tableColumn id="19" name="Attention"/>
    <tableColumn id="20" name="Open Actions"/>
    <tableColumn id="21" name="Upcoming Rank"/>
  </tableColumns>
  <tableStyleInfo name="TableStyleLight1" showRowStripes="0"/>
</table>
</file>

<file path=xl/tables/table4.xml><?xml version="1.0" encoding="utf-8"?>
<table xmlns="http://schemas.openxmlformats.org/spreadsheetml/2006/main" id="4" name="tblActions" displayName="tblActions" ref="A5:N69" headerRowCount="1">
  <autoFilter ref="A5:N69"/>
  <tableColumns count="14">
    <tableColumn id="1" name="ID"/>
    <tableColumn id="2" name="Date"/>
    <tableColumn id="3" name="Action Type"/>
    <tableColumn id="4" name="Description"/>
    <tableColumn id="5" name="Objective ID"/>
    <tableColumn id="6" name="Relationship ID"/>
    <tableColumn id="7" name="Priority ID"/>
    <tableColumn id="8" name="Owner"/>
    <tableColumn id="9" name="Status"/>
    <tableColumn id="10" name="Outcome or Result"/>
    <tableColumn id="11" name="Next Step"/>
    <tableColumn id="12" name="Quarter"/>
    <tableColumn id="13" name="Timing Flag"/>
    <tableColumn id="14" name="Days Overdue"/>
  </tableColumns>
  <tableStyleInfo name="TableStyleLight1" showRowStripes="0"/>
</table>
</file>

<file path=xl/tables/table5.xml><?xml version="1.0" encoding="utf-8"?>
<table xmlns="http://schemas.openxmlformats.org/spreadsheetml/2006/main" id="5" name="tblMilestones" displayName="tblMilestones" ref="A5:S53" headerRowCount="1">
  <autoFilter ref="A5:S53"/>
  <tableColumns count="19">
    <tableColumn id="1" name="ID"/>
    <tableColumn id="2" name="Milestone"/>
    <tableColumn id="3" name="Objective ID"/>
    <tableColumn id="4" name="Type"/>
    <tableColumn id="5" name="Owner"/>
    <tableColumn id="6" name="Due Date"/>
    <tableColumn id="7" name="Revised Due Date"/>
    <tableColumn id="8" name="Status"/>
    <tableColumn id="9" name="Completed Date"/>
    <tableColumn id="10" name="Depends On"/>
    <tableColumn id="11" name="Critical Path"/>
    <tableColumn id="12" name="Notes"/>
    <tableColumn id="13" name="Effective Due"/>
    <tableColumn id="14" name="Quarter"/>
    <tableColumn id="15" name="Slip Days"/>
    <tableColumn id="16" name="Days to Due"/>
    <tableColumn id="17" name="Schedule Flag"/>
    <tableColumn id="18" name="Dependency Status"/>
    <tableColumn id="19" name="Open Rank"/>
  </tableColumns>
  <tableStyleInfo name="TableStyleLight1" showRowStripes="0"/>
</table>
</file>

<file path=xl/tables/table6.xml><?xml version="1.0" encoding="utf-8"?>
<table xmlns="http://schemas.openxmlformats.org/spreadsheetml/2006/main" id="6" name="tblRisks" displayName="tblRisks" ref="A5:T25" headerRowCount="1">
  <autoFilter ref="A5:T25"/>
  <tableColumns count="20">
    <tableColumn id="1" name="ID"/>
    <tableColumn id="2" name="Risk Statement"/>
    <tableColumn id="3" name="Category"/>
    <tableColumn id="4" name="Objective ID"/>
    <tableColumn id="5" name="Likelihood"/>
    <tableColumn id="6" name="Impact"/>
    <tableColumn id="7" name="Early Warning Indicator"/>
    <tableColumn id="8" name="Mitigation or Contingency"/>
    <tableColumn id="9" name="Owner"/>
    <tableColumn id="10" name="Status"/>
    <tableColumn id="11" name="Escalation Level"/>
    <tableColumn id="12" name="Date Identified"/>
    <tableColumn id="13" name="Last Reviewed"/>
    <tableColumn id="14" name="Likelihood Score"/>
    <tableColumn id="15" name="Impact Score"/>
    <tableColumn id="16" name="Exposure"/>
    <tableColumn id="17" name="Rating"/>
    <tableColumn id="18" name="Days Since Review"/>
    <tableColumn id="19" name="Review Flag"/>
    <tableColumn id="20" name="Risk Rank"/>
  </tableColumns>
  <tableStyleInfo name="TableStyleLight1" showRowStripes="0"/>
</table>
</file>

<file path=xl/tables/table7.xml><?xml version="1.0" encoding="utf-8"?>
<table xmlns="http://schemas.openxmlformats.org/spreadsheetml/2006/main" id="7" name="tblEscalations" displayName="tblEscalations" ref="A5:N18" headerRowCount="1">
  <autoFilter ref="A5:N18"/>
  <tableColumns count="14">
    <tableColumn id="1" name="ID"/>
    <tableColumn id="2" name="Date Raised"/>
    <tableColumn id="3" name="Risk ID"/>
    <tableColumn id="4" name="Objective ID"/>
    <tableColumn id="5" name="Issue"/>
    <tableColumn id="6" name="Escalated To"/>
    <tableColumn id="7" name="Raised By"/>
    <tableColumn id="8" name="Decision or Direction Requested"/>
    <tableColumn id="9" name="Response Due"/>
    <tableColumn id="10" name="Date Resolved"/>
    <tableColumn id="11" name="Decision Made"/>
    <tableColumn id="12" name="Response Status"/>
    <tableColumn id="13" name="Days Open"/>
    <tableColumn id="14" name="Days Past Due"/>
  </tableColumns>
  <tableStyleInfo name="TableStyleLight1" showRowStripes="0"/>
</table>
</file>

<file path=xl/tables/table8.xml><?xml version="1.0" encoding="utf-8"?>
<table xmlns="http://schemas.openxmlformats.org/spreadsheetml/2006/main" id="8" name="tblQuarterly" displayName="tblQuarterly" ref="A5:M29" headerRowCount="1">
  <autoFilter ref="A5:M29"/>
  <tableColumns count="13">
    <tableColumn id="1" name="Quarter"/>
    <tableColumn id="2" name="Objective ID"/>
    <tableColumn id="3" name="Objective"/>
    <tableColumn id="4" name="Review Date"/>
    <tableColumn id="5" name="Status"/>
    <tableColumn id="6" name="Evidence of Progress"/>
    <tableColumn id="7" name="Variance and Cause"/>
    <tableColumn id="8" name="Adjustment Made"/>
    <tableColumn id="9" name="Leadership Decision Needed"/>
    <tableColumn id="10" name="Reviewed By"/>
    <tableColumn id="11" name="Key"/>
    <tableColumn id="12" name="Prior Status"/>
    <tableColumn id="13" name="Movement"/>
  </tableColumns>
  <tableStyleInfo name="TableStyleLight1" showRow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_rels/sheet3.xml.rels><Relationships xmlns="http://schemas.openxmlformats.org/package/2006/relationships"><Relationship Type="http://schemas.openxmlformats.org/officeDocument/2006/relationships/table" Target="/xl/tables/table1.xml" Id="rId1"/></Relationships>
</file>

<file path=xl/worksheets/_rels/sheet4.xml.rels><Relationships xmlns="http://schemas.openxmlformats.org/package/2006/relationships"><Relationship Type="http://schemas.openxmlformats.org/officeDocument/2006/relationships/table" Target="/xl/tables/table2.xml" Id="rId1"/></Relationships>
</file>

<file path=xl/worksheets/_rels/sheet5.xml.rels><Relationships xmlns="http://schemas.openxmlformats.org/package/2006/relationships"><Relationship Type="http://schemas.openxmlformats.org/officeDocument/2006/relationships/table" Target="/xl/tables/table3.xml" Id="rId1"/></Relationships>
</file>

<file path=xl/worksheets/_rels/sheet6.xml.rels><Relationships xmlns="http://schemas.openxmlformats.org/package/2006/relationships"><Relationship Type="http://schemas.openxmlformats.org/officeDocument/2006/relationships/table" Target="/xl/tables/table4.xml" Id="rId1"/></Relationships>
</file>

<file path=xl/worksheets/_rels/sheet7.xml.rels><Relationships xmlns="http://schemas.openxmlformats.org/package/2006/relationships"><Relationship Type="http://schemas.openxmlformats.org/officeDocument/2006/relationships/table" Target="/xl/tables/table5.xml" Id="rId1"/></Relationships>
</file>

<file path=xl/worksheets/_rels/sheet8.xml.rels><Relationships xmlns="http://schemas.openxmlformats.org/package/2006/relationships"><Relationship Type="http://schemas.openxmlformats.org/officeDocument/2006/relationships/table" Target="/xl/tables/table6.xml" Id="rId1"/></Relationships>
</file>

<file path=xl/worksheets/_rels/sheet9.xml.rels><Relationships xmlns="http://schemas.openxmlformats.org/package/2006/relationships"><Relationship Type="http://schemas.openxmlformats.org/officeDocument/2006/relationships/table" Target="/xl/tables/table7.xml" Id="rId1"/></Relationships>
</file>

<file path=xl/worksheets/_rels/sheet10.xml.rels><Relationships xmlns="http://schemas.openxmlformats.org/package/2006/relationships"><Relationship Type="http://schemas.openxmlformats.org/officeDocument/2006/relationships/table" Target="/xl/tables/table8.xml" Id="rId1"/></Relationships>
</file>

<file path=xl/worksheets/sheet1.xml><?xml version="1.0" encoding="utf-8"?>
<worksheet xmlns="http://schemas.openxmlformats.org/spreadsheetml/2006/main">
  <sheetPr>
    <tabColor rgb="00A93632"/>
    <outlinePr summaryBelow="1" summaryRight="1"/>
    <pageSetUpPr fitToPage="1"/>
  </sheetPr>
  <dimension ref="B1:E45"/>
  <sheetViews>
    <sheetView showGridLines="0" workbookViewId="0">
      <selection activeCell="A1" sqref="A1"/>
    </sheetView>
  </sheetViews>
  <sheetFormatPr baseColWidth="8" defaultRowHeight="15"/>
  <cols>
    <col width="3" customWidth="1" min="1" max="1"/>
    <col width="36" customWidth="1" min="2" max="2"/>
    <col width="52" customWidth="1" min="3" max="3"/>
    <col width="30" customWidth="1" min="4" max="4"/>
    <col width="30" customWidth="1" min="5" max="5"/>
  </cols>
  <sheetData>
    <row r="1">
      <c r="B1" s="1" t="inlineStr">
        <is>
          <t>Annual Intergovernmental Affairs Strategic Plan Tracker</t>
        </is>
      </c>
    </row>
    <row r="2">
      <c r="B2" s="2" t="inlineStr">
        <is>
          <t>Intergov Association Resource Library. Companion to the Annual Strategic Plan Template.  COMPLETED EXAMPLE: all names, governments, bills, and figures are fictional.</t>
        </is>
      </c>
    </row>
    <row r="4" ht="18" customHeight="1">
      <c r="B4" s="3" t="inlineStr">
        <is>
          <t>SETUP: complete these cells first</t>
        </is>
      </c>
      <c r="C4" s="4" t="n"/>
      <c r="D4" s="4" t="n"/>
      <c r="E4" s="4" t="n"/>
    </row>
    <row r="5" ht="26" customHeight="1">
      <c r="B5" s="5" t="inlineStr">
        <is>
          <t>Organization</t>
        </is>
      </c>
      <c r="C5" s="6" t="inlineStr">
        <is>
          <t>Eastbrook County</t>
        </is>
      </c>
      <c r="D5" s="7" t="inlineStr">
        <is>
          <t>Name that appears on the dashboard.</t>
        </is>
      </c>
    </row>
    <row r="6" ht="26" customHeight="1">
      <c r="B6" s="5" t="inlineStr">
        <is>
          <t>Office</t>
        </is>
      </c>
      <c r="C6" s="6" t="inlineStr">
        <is>
          <t>Office of Intergovernmental Affairs</t>
        </is>
      </c>
      <c r="D6" s="7" t="inlineStr">
        <is>
          <t>Your unit within the organization.</t>
        </is>
      </c>
    </row>
    <row r="7" ht="26" customHeight="1">
      <c r="B7" s="5" t="inlineStr">
        <is>
          <t>Plan year</t>
        </is>
      </c>
      <c r="C7" s="8" t="n">
        <v>2027</v>
      </c>
      <c r="D7" s="7" t="inlineStr">
        <is>
          <t>The year the plan covers, for example 2027.</t>
        </is>
      </c>
    </row>
    <row r="8" ht="26" customHeight="1">
      <c r="B8" s="5" t="inlineStr">
        <is>
          <t>Plan year starts in month (1 to 12)</t>
        </is>
      </c>
      <c r="C8" s="8" t="n">
        <v>1</v>
      </c>
      <c r="D8" s="7" t="inlineStr">
        <is>
          <t>1 for a calendar-year plan. 7 for a plan that starts in July. Drives quarter labels.</t>
        </is>
      </c>
    </row>
    <row r="9" ht="26" customHeight="1">
      <c r="B9" s="5" t="inlineStr">
        <is>
          <t>Report as-of date</t>
        </is>
      </c>
      <c r="C9" s="9" t="n">
        <v>46485</v>
      </c>
      <c r="D9" s="7" t="inlineStr">
        <is>
          <t>Leave blank to use today's date. Enter a date to freeze the reporting position.</t>
        </is>
      </c>
    </row>
    <row r="10" ht="26" customHeight="1">
      <c r="B10" s="5" t="inlineStr">
        <is>
          <t>Risk review interval (days)</t>
        </is>
      </c>
      <c r="C10" s="8" t="n">
        <v>90</v>
      </c>
      <c r="D10" s="7" t="inlineStr">
        <is>
          <t>A risk not reviewed within this many days is flagged.</t>
        </is>
      </c>
    </row>
    <row r="11">
      <c r="B11" s="5" t="inlineStr">
        <is>
          <t>Date used for all reporting</t>
        </is>
      </c>
      <c r="C11" s="10">
        <f>IF(ISNUMBER(AsOfInput),AsOfInput,TODAY())</f>
        <v>46485.0</v>
      </c>
      <c r="D11" s="11" t="inlineStr">
        <is>
          <t>Calculated. Every overdue and due-soon flag measures against this date.</t>
        </is>
      </c>
    </row>
    <row r="13" ht="18" customHeight="1">
      <c r="B13" s="3" t="inlineStr">
        <is>
          <t>HOW TO USE THE WORKBOOK</t>
        </is>
      </c>
      <c r="C13" s="4" t="n"/>
      <c r="D13" s="4" t="n"/>
      <c r="E13" s="4" t="n"/>
    </row>
    <row r="14" ht="30" customHeight="1">
      <c r="B14" s="12" t="inlineStr">
        <is>
          <t>Step 1</t>
        </is>
      </c>
      <c r="C14" s="13" t="inlineStr">
        <is>
          <t>Complete the setup cells above. Leave the as-of date blank for everyday use. Enter a date when you prepare a quarterly report so figures match what leadership saw.</t>
        </is>
      </c>
    </row>
    <row r="15" ht="30" customHeight="1">
      <c r="B15" s="12" t="inlineStr">
        <is>
          <t>Step 2</t>
        </is>
      </c>
      <c r="C15" s="13" t="inlineStr">
        <is>
          <t>Enter objectives first. Their IDs (OBJ-1, OBJ-2, and so on) feed the dropdowns on every other sheet. Four to seven objectives is a workable range.</t>
        </is>
      </c>
    </row>
    <row r="16" ht="30" customHeight="1">
      <c r="B16" s="12" t="inlineStr">
        <is>
          <t>Step 3</t>
        </is>
      </c>
      <c r="C16" s="13" t="inlineStr">
        <is>
          <t>Add people to the People list on the Lists sheet so Lead and Owner entries stay consistent. Enter governments on Relationships and bills, rules, grants, and agreements on Priorities.</t>
        </is>
      </c>
    </row>
    <row r="17" ht="30" customHeight="1">
      <c r="B17" s="12" t="inlineStr">
        <is>
          <t>Step 4</t>
        </is>
      </c>
      <c r="C17" s="13" t="inlineStr">
        <is>
          <t>Break each objective into milestones: dated results with one owner. Mark dates other governments set as Fixed External Date, and dates you expect but no one has confirmed as Assumed External Date.</t>
        </is>
      </c>
    </row>
    <row r="18" ht="30" customHeight="1">
      <c r="B18" s="12" t="inlineStr">
        <is>
          <t>Step 5</t>
        </is>
      </c>
      <c r="C18" s="13" t="inlineStr">
        <is>
          <t>Log engagement on Actions as it happens. Give each completed action an outcome. A completed action linked to a Relationship ID updates that relationship's Last Contact and Contact Status automatically.</t>
        </is>
      </c>
    </row>
    <row r="19" ht="30" customHeight="1">
      <c r="B19" s="12" t="inlineStr">
        <is>
          <t>Step 6</t>
        </is>
      </c>
      <c r="C19" s="13" t="inlineStr">
        <is>
          <t>Record risks with an early warning indicator you can observe. When an issue needs a decision above your level, log it on Escalations with the decision requested and the date you need it.</t>
        </is>
      </c>
    </row>
    <row r="20" ht="30" customHeight="1">
      <c r="B20" s="12" t="inlineStr">
        <is>
          <t>Step 7</t>
        </is>
      </c>
      <c r="C20" s="13" t="inlineStr">
        <is>
          <t>At each quarterly review, add one row per objective on Quarterly Review, then update the Status on Objectives to match. Move dates with Revised Due Date so the original date stays visible.</t>
        </is>
      </c>
    </row>
    <row r="21" ht="30" customHeight="1">
      <c r="B21" s="12" t="inlineStr">
        <is>
          <t>Step 8</t>
        </is>
      </c>
      <c r="C21" s="13" t="inlineStr">
        <is>
          <t>Read the Dashboard. It summarizes the other sheets and cannot be edited. Use the filter arrows on any table header to sort or filter.</t>
        </is>
      </c>
    </row>
    <row r="23" ht="18" customHeight="1">
      <c r="B23" s="3" t="inlineStr">
        <is>
          <t>WORKSHEETS</t>
        </is>
      </c>
      <c r="C23" s="4" t="n"/>
      <c r="D23" s="4" t="n"/>
      <c r="E23" s="4" t="n"/>
    </row>
    <row r="24">
      <c r="B24" s="14" t="inlineStr">
        <is>
          <t>Sheet</t>
        </is>
      </c>
      <c r="C24" s="14" t="inlineStr">
        <is>
          <t>What it is for</t>
        </is>
      </c>
      <c r="D24" s="14" t="inlineStr">
        <is>
          <t>Who updates it</t>
        </is>
      </c>
      <c r="E24" s="14" t="inlineStr">
        <is>
          <t>How often</t>
        </is>
      </c>
    </row>
    <row r="25" ht="30" customHeight="1">
      <c r="B25" s="15" t="inlineStr">
        <is>
          <t>Dashboard</t>
        </is>
      </c>
      <c r="C25" s="16" t="inlineStr">
        <is>
          <t>Summary of the whole workbook for leadership and for your own review.</t>
        </is>
      </c>
      <c r="D25" s="16" t="inlineStr">
        <is>
          <t>No one. Calculated.</t>
        </is>
      </c>
      <c r="E25" s="16" t="inlineStr">
        <is>
          <t>Read weekly</t>
        </is>
      </c>
    </row>
    <row r="26" ht="30" customHeight="1">
      <c r="B26" s="15" t="inlineStr">
        <is>
          <t>Objectives</t>
        </is>
      </c>
      <c r="C26" s="16" t="inlineStr">
        <is>
          <t>The plan's commitments, with progress calculated from milestones and risks.</t>
        </is>
      </c>
      <c r="D26" s="16" t="inlineStr">
        <is>
          <t>Plan owner and objective leads</t>
        </is>
      </c>
      <c r="E26" s="16" t="inlineStr">
        <is>
          <t>At each review</t>
        </is>
      </c>
    </row>
    <row r="27" ht="30" customHeight="1">
      <c r="B27" s="15" t="inlineStr">
        <is>
          <t>Relationships</t>
        </is>
      </c>
      <c r="C27" s="16" t="inlineStr">
        <is>
          <t>Priority governments, who owns each, and whether contact is keeping pace.</t>
        </is>
      </c>
      <c r="D27" s="16" t="inlineStr">
        <is>
          <t>Relationship leads</t>
        </is>
      </c>
      <c r="E27" s="16" t="inlineStr">
        <is>
          <t>Monthly</t>
        </is>
      </c>
    </row>
    <row r="28" ht="30" customHeight="1">
      <c r="B28" s="15" t="inlineStr">
        <is>
          <t>Priorities</t>
        </is>
      </c>
      <c r="C28" s="16" t="inlineStr">
        <is>
          <t>Bills, rules, grants, approvals, and agreements with positions and key dates.</t>
        </is>
      </c>
      <c r="D28" s="16" t="inlineStr">
        <is>
          <t>Item leads</t>
        </is>
      </c>
      <c r="E28" s="16" t="inlineStr">
        <is>
          <t>Weekly in session</t>
        </is>
      </c>
    </row>
    <row r="29" ht="16.5" customHeight="1">
      <c r="B29" s="15" t="inlineStr">
        <is>
          <t>Actions</t>
        </is>
      </c>
      <c r="C29" s="16" t="inlineStr">
        <is>
          <t>Engagement log. Feeds Last Contact on Relationships.</t>
        </is>
      </c>
      <c r="D29" s="16" t="inlineStr">
        <is>
          <t>Whoever acts</t>
        </is>
      </c>
      <c r="E29" s="16" t="inlineStr">
        <is>
          <t>As it happens</t>
        </is>
      </c>
    </row>
    <row r="30" ht="30" customHeight="1">
      <c r="B30" s="15" t="inlineStr">
        <is>
          <t>Milestones</t>
        </is>
      </c>
      <c r="C30" s="16" t="inlineStr">
        <is>
          <t>Dated results and dependencies. Feeds progress on Objectives.</t>
        </is>
      </c>
      <c r="D30" s="16" t="inlineStr">
        <is>
          <t>Milestone owners</t>
        </is>
      </c>
      <c r="E30" s="16" t="inlineStr">
        <is>
          <t>Weekly or biweekly</t>
        </is>
      </c>
    </row>
    <row r="31" ht="30" customHeight="1">
      <c r="B31" s="15" t="inlineStr">
        <is>
          <t>Risks</t>
        </is>
      </c>
      <c r="C31" s="16" t="inlineStr">
        <is>
          <t>Register of what could stop an objective, with early warning indicators.</t>
        </is>
      </c>
      <c r="D31" s="16" t="inlineStr">
        <is>
          <t>Risk owners</t>
        </is>
      </c>
      <c r="E31" s="16" t="inlineStr">
        <is>
          <t>Monthly, formal each quarter</t>
        </is>
      </c>
    </row>
    <row r="32" ht="30" customHeight="1">
      <c r="B32" s="15" t="inlineStr">
        <is>
          <t>Escalations</t>
        </is>
      </c>
      <c r="C32" s="16" t="inlineStr">
        <is>
          <t>Decisions requested above your level and whether they arrived in time.</t>
        </is>
      </c>
      <c r="D32" s="16" t="inlineStr">
        <is>
          <t>Plan owner</t>
        </is>
      </c>
      <c r="E32" s="16" t="inlineStr">
        <is>
          <t>As raised</t>
        </is>
      </c>
    </row>
    <row r="33" ht="30" customHeight="1">
      <c r="B33" s="15" t="inlineStr">
        <is>
          <t>Quarterly Review</t>
        </is>
      </c>
      <c r="C33" s="16" t="inlineStr">
        <is>
          <t>The permanent record of each quarter's status, evidence, and adjustments.</t>
        </is>
      </c>
      <c r="D33" s="16" t="inlineStr">
        <is>
          <t>Plan owner</t>
        </is>
      </c>
      <c r="E33" s="16" t="inlineStr">
        <is>
          <t>Each quarter</t>
        </is>
      </c>
    </row>
    <row r="34" ht="30" customHeight="1">
      <c r="B34" s="15" t="inlineStr">
        <is>
          <t>Definitions</t>
        </is>
      </c>
      <c r="C34" s="16" t="inlineStr">
        <is>
          <t>What each status, tier, rating, and flag means, and a field guide.</t>
        </is>
      </c>
      <c r="D34" s="16" t="inlineStr">
        <is>
          <t>Reference</t>
        </is>
      </c>
      <c r="E34" s="16" t="inlineStr">
        <is>
          <t>Read once</t>
        </is>
      </c>
    </row>
    <row r="35" ht="16.5" customHeight="1">
      <c r="B35" s="15" t="inlineStr">
        <is>
          <t>Lists</t>
        </is>
      </c>
      <c r="C35" s="16" t="inlineStr">
        <is>
          <t>Dropdown choices and the People list.</t>
        </is>
      </c>
      <c r="D35" s="16" t="inlineStr">
        <is>
          <t>Plan owner</t>
        </is>
      </c>
      <c r="E35" s="16" t="inlineStr">
        <is>
          <t>When names or terms change</t>
        </is>
      </c>
    </row>
    <row r="37" ht="18" customHeight="1">
      <c r="B37" s="3" t="inlineStr">
        <is>
          <t>CONVENTIONS AND LIMITS</t>
        </is>
      </c>
      <c r="C37" s="4" t="n"/>
      <c r="D37" s="4" t="n"/>
      <c r="E37" s="4" t="n"/>
    </row>
    <row r="38" ht="70.5" customHeight="1">
      <c r="B38" s="17" t="inlineStr">
        <is>
          <t>•</t>
        </is>
      </c>
      <c r="C38" s="13" t="inlineStr">
        <is>
          <t>Identifiers: EP-1 executive priority, OBJ-1 objective, REL-01 relationship, LEG-01 legislative item, ADM-01 administrative item, MS-001 milestone, ACT-001 action, RSK-01 risk, ESC-01 escalation. Number each type in sequence, never reuse an ID after an item closes, and use the same ID in the Word plan. The Data Checks on the Dashboard flag duplicate IDs, references to records that do not exist, LEG or ADM prefixes that do not match the Track, missing owners, and dates that do not make sense.</t>
        </is>
      </c>
    </row>
    <row r="39" ht="30" customHeight="1">
      <c r="B39" s="17" t="inlineStr">
        <is>
          <t>•</t>
        </is>
      </c>
      <c r="C39" s="13" t="inlineStr">
        <is>
          <t>The Word plan holds executive summaries. This workbook holds the full registers: every contact, milestone, risk, and action. Update the workbook as work happens and the plan at each quarterly review.</t>
        </is>
      </c>
    </row>
    <row r="40" ht="30" customHeight="1">
      <c r="B40" s="17" t="inlineStr">
        <is>
          <t>•</t>
        </is>
      </c>
      <c r="C40" s="13" t="inlineStr">
        <is>
          <t>Navy headers mark input columns. Slate headers over gray cells mark calculated columns. Do not type over calculated cells.</t>
        </is>
      </c>
    </row>
    <row r="41" ht="16.5" customHeight="1">
      <c r="B41" s="17" t="inlineStr">
        <is>
          <t>•</t>
        </is>
      </c>
      <c r="C41" s="13" t="inlineStr">
        <is>
          <t>Status colors always appear with the status word. Nothing in the workbook depends on color alone.</t>
        </is>
      </c>
    </row>
    <row r="42" ht="57" customHeight="1">
      <c r="B42" s="17" t="inlineStr">
        <is>
          <t>•</t>
        </is>
      </c>
      <c r="C42" s="13" t="inlineStr">
        <is>
          <t>Each data sheet is an Excel table with formulas prefilled for 12 objectives, 24 relationships, 19 priorities, 64 actions, 48 milestones, 20 risks, 13 escalations, and 24 review rows. To add rows beyond that, select the last row of the table and copy it down, or drag the table's lower-right handle. The dashboard picks up added rows.</t>
        </is>
      </c>
    </row>
    <row r="43" ht="30" customHeight="1">
      <c r="B43" s="17" t="inlineStr">
        <is>
          <t>•</t>
        </is>
      </c>
      <c r="C43" s="13" t="inlineStr">
        <is>
          <t>Dropdown lists for Lead and Owner accept names that are not on the People list after a warning. All other dropdowns accept only listed values.</t>
        </is>
      </c>
    </row>
    <row r="44" ht="30" customHeight="1">
      <c r="B44" s="17" t="inlineStr">
        <is>
          <t>•</t>
        </is>
      </c>
      <c r="C44" s="13" t="inlineStr">
        <is>
          <t>Built for Microsoft Excel 2016 or later, including Microsoft 365. It uses no macros, add-ins, or external connections. Google Sheets does not support the table references used here.</t>
        </is>
      </c>
    </row>
    <row r="45" ht="16.5" customHeight="1">
      <c r="B45" s="17" t="inlineStr">
        <is>
          <t>•</t>
        </is>
      </c>
      <c r="C45" s="13" t="inlineStr">
        <is>
          <t>The dashboard lists the first ten objectives. Counts and charts include every row.</t>
        </is>
      </c>
    </row>
  </sheetData>
  <mergeCells count="23">
    <mergeCell ref="C16:E16"/>
    <mergeCell ref="C44:E44"/>
    <mergeCell ref="D10:E10"/>
    <mergeCell ref="C41:E41"/>
    <mergeCell ref="C40:E40"/>
    <mergeCell ref="C21:E21"/>
    <mergeCell ref="C43:E43"/>
    <mergeCell ref="D6:E6"/>
    <mergeCell ref="D11:E11"/>
    <mergeCell ref="C39:E39"/>
    <mergeCell ref="C17:E17"/>
    <mergeCell ref="C38:E38"/>
    <mergeCell ref="D7:E7"/>
    <mergeCell ref="C19:E19"/>
    <mergeCell ref="C18:E18"/>
    <mergeCell ref="D9:E9"/>
    <mergeCell ref="C15:E15"/>
    <mergeCell ref="D8:E8"/>
    <mergeCell ref="C42:E42"/>
    <mergeCell ref="C14:E14"/>
    <mergeCell ref="C45:E45"/>
    <mergeCell ref="D5:E5"/>
    <mergeCell ref="C20:E20"/>
  </mergeCells>
  <dataValidations count="4">
    <dataValidation sqref="C8" showDropDown="0" showInputMessage="0" showErrorMessage="1" allowBlank="0" errorTitle="Month" error="Enter a month number from 1 to 12." type="whole" operator="between">
      <formula1>1</formula1>
      <formula2>12</formula2>
    </dataValidation>
    <dataValidation sqref="C7" showDropDown="0" showInputMessage="0" showErrorMessage="1" allowBlank="0" errorTitle="Plan year" error="Enter a four-digit year." type="whole" operator="between">
      <formula1>2000</formula1>
      <formula2>2100</formula2>
    </dataValidation>
    <dataValidation sqref="C9" showDropDown="0" showInputMessage="0" showErrorMessage="1" allowBlank="1" errorTitle="Date" error="Enter a valid date or leave blank." type="date" operator="greaterThanOrEqual">
      <formula1>36526</formula1>
    </dataValidation>
    <dataValidation sqref="C10" showDropDown="0" showInputMessage="0" showErrorMessage="1" allowBlank="0" errorTitle="Days" error="Enter a number of days from 7 to 365." type="whole" operator="between">
      <formula1>7</formula1>
      <formula2>365</formula2>
    </dataValidation>
  </dataValidations>
  <pageMargins left="0.75" right="0.75" top="1" bottom="1" header="0.5" footer="0.5"/>
  <pageSetup orientation="portrait" fitToHeight="0" fitToWidth="1"/>
</worksheet>
</file>

<file path=xl/worksheets/sheet2.xml><?xml version="1.0" encoding="utf-8"?>
<worksheet xmlns="http://schemas.openxmlformats.org/spreadsheetml/2006/main">
  <sheetPr>
    <tabColor rgb="00A93632"/>
    <outlinePr summaryBelow="1" summaryRight="1"/>
    <pageSetUpPr fitToPage="1"/>
  </sheetPr>
  <dimension ref="B1:M109"/>
  <sheetViews>
    <sheetView showGridLines="0" workbookViewId="0">
      <pane ySplit="4" topLeftCell="A5" activePane="bottomLeft" state="frozen"/>
      <selection pane="bottomLeft" activeCell="A1" sqref="A1"/>
    </sheetView>
  </sheetViews>
  <sheetFormatPr baseColWidth="8" defaultRowHeight="15"/>
  <cols>
    <col width="2" customWidth="1" min="1" max="1"/>
    <col width="13.5" customWidth="1" min="2" max="2"/>
    <col width="13.5" customWidth="1" min="3" max="3"/>
    <col width="13.5" customWidth="1" min="4" max="4"/>
    <col width="13.5" customWidth="1" min="5" max="5"/>
    <col width="13.5" customWidth="1" min="6" max="6"/>
    <col width="13.5" customWidth="1" min="7" max="7"/>
    <col width="13.5" customWidth="1" min="8" max="8"/>
    <col width="13.5" customWidth="1" min="9" max="9"/>
    <col width="13.5" customWidth="1" min="10" max="10"/>
    <col width="13.5" customWidth="1" min="11" max="11"/>
    <col width="13.5" customWidth="1" min="12" max="12"/>
    <col width="13.5" customWidth="1" min="13" max="13"/>
    <col width="2" customWidth="1" min="14" max="14"/>
  </cols>
  <sheetData>
    <row r="1">
      <c r="B1" s="1" t="inlineStr">
        <is>
          <t>Executive Dashboard</t>
        </is>
      </c>
    </row>
    <row r="2">
      <c r="B2" s="18" t="str">
        <f>OrgName&amp;"  |  "&amp;OfficeName&amp;"  |  Plan year "&amp;PlanYear&amp;"  |  Report date "&amp;TEXT(AsOf,"mmm d, yyyy")&amp;"  |  Quarter "&amp;("Q"&amp;(INT(MOD(MONTH(AsOf)-StartMonth,12)/3)+1))</f>
        <v>Eastbrook County  |  Office of Intergovernmental Affairs  |  Plan year 2027  |  Report date Apr 8, 2027  |  Quarter Q2</v>
      </c>
    </row>
    <row r="3">
      <c r="B3" s="19" t="inlineStr">
        <is>
          <t>Every figure calculates from the worksheets. Set the report date on the Instructions sheet.  FICTIONAL EXAMPLE DATA.</t>
        </is>
      </c>
    </row>
    <row r="5" ht="26" customHeight="1">
      <c r="B5" s="20" t="inlineStr">
        <is>
          <t>OBJECTIVES AT RISK OR OFF TRACK</t>
        </is>
      </c>
      <c r="C5" s="21" t="n"/>
      <c r="D5" s="20" t="inlineStr">
        <is>
          <t>OVERDUE MILESTONES</t>
        </is>
      </c>
      <c r="E5" s="21" t="n"/>
      <c r="F5" s="20" t="inlineStr">
        <is>
          <t>OPEN HIGH-EXPOSURE RISKS</t>
        </is>
      </c>
      <c r="G5" s="21" t="n"/>
      <c r="H5" s="20" t="inlineStr">
        <is>
          <t>RELATIONSHIPS OVERDUE FOR CONTACT</t>
        </is>
      </c>
      <c r="I5" s="21" t="n"/>
      <c r="J5" s="20" t="inlineStr">
        <is>
          <t>PRIORITIES NEEDING ATTENTION</t>
        </is>
      </c>
      <c r="K5" s="21" t="n"/>
      <c r="L5" s="20" t="inlineStr">
        <is>
          <t>ESCALATIONS AWAITING DECISION</t>
        </is>
      </c>
      <c r="M5" s="21" t="n"/>
    </row>
    <row r="6" ht="36" customHeight="1">
      <c r="B6" s="22">
        <f>COUNTIFS(tblObjectives[Status],"At Risk")+COUNTIFS(tblObjectives[Status],"Off Track")</f>
        <v>3</v>
      </c>
      <c r="D6" s="22">
        <f>COUNTIFS(tblMilestones[Schedule Flag],"Overdue")</f>
        <v>0</v>
      </c>
      <c r="F6" s="22">
        <f>COUNTIFS(tblRisks[Rating],"High",tblRisks[Status],"&lt;&gt;Closed")</f>
        <v>6</v>
      </c>
      <c r="H6" s="22">
        <f>COUNTIFS(tblRelationships[Contact Status],"Overdue")</f>
        <v>4</v>
      </c>
      <c r="J6" s="22">
        <f>COUNTIFS(tblPriorities[Attention],"?*")</f>
        <v>4</v>
      </c>
      <c r="L6" s="22">
        <f>COUNTIFS(tblEscalations[Response Status],"Open")+COUNTIFS(tblEscalations[Response Status],"Past Due")</f>
        <v>3</v>
      </c>
    </row>
    <row r="7" ht="16" customHeight="1">
      <c r="B7" s="23" t="str">
        <f>"of "&amp;COUNTIFS(tblObjectives[ID],"?*")&amp;" objectives"</f>
        <v>of 6 objectives</v>
      </c>
      <c r="D7" s="23" t="str">
        <f>"Due within 14 days: "&amp;COUNTIFS(tblMilestones[Schedule Flag],"Due Within 14 Days")</f>
        <v>Due within 14 days: 3</v>
      </c>
      <c r="F7" s="23" t="str">
        <f>"Escalated: "&amp;COUNTIFS(tblRisks[Status],"Escalated")</f>
        <v>Escalated: 4</v>
      </c>
      <c r="H7" s="23" t="str">
        <f>"No contact logged: "&amp;COUNTIFS(tblRelationships[Contact Status],"No Contact Logged")</f>
        <v>No contact logged: 4</v>
      </c>
      <c r="J7" s="23" t="str">
        <f>"Clearance needed: "&amp;COUNTIFS(tblPriorities[Attention],"Clearance Needed")</f>
        <v>Clearance needed: 1</v>
      </c>
      <c r="L7" s="23" t="str">
        <f>"Past due: "&amp;COUNTIFS(tblEscalations[Response Status],"Past Due")</f>
        <v>Past due: 1</v>
      </c>
    </row>
    <row r="9" ht="18" customHeight="1">
      <c r="B9" s="3" t="inlineStr">
        <is>
          <t>OBJECTIVES</t>
        </is>
      </c>
      <c r="C9" s="4" t="n"/>
      <c r="D9" s="4" t="n"/>
      <c r="E9" s="4" t="n"/>
      <c r="F9" s="4" t="n"/>
      <c r="G9" s="4" t="n"/>
      <c r="H9" s="4" t="n"/>
      <c r="I9" s="4" t="n"/>
      <c r="J9" s="4" t="n"/>
      <c r="K9" s="4" t="n"/>
      <c r="L9" s="4" t="n"/>
      <c r="M9" s="4" t="n"/>
    </row>
    <row r="10" ht="28" customHeight="1">
      <c r="B10" s="24" t="inlineStr">
        <is>
          <t>ID</t>
        </is>
      </c>
      <c r="C10" s="24" t="inlineStr">
        <is>
          <t>Objective</t>
        </is>
      </c>
      <c r="D10" s="25" t="n"/>
      <c r="E10" s="25" t="n"/>
      <c r="F10" s="25" t="n"/>
      <c r="G10" s="24" t="inlineStr">
        <is>
          <t>Lead</t>
        </is>
      </c>
      <c r="H10" s="24" t="inlineStr">
        <is>
          <t>Status</t>
        </is>
      </c>
      <c r="I10" s="24" t="inlineStr">
        <is>
          <t>Target date</t>
        </is>
      </c>
      <c r="J10" s="24" t="inlineStr">
        <is>
          <t>Milestones done</t>
        </is>
      </c>
      <c r="K10" s="24" t="inlineStr">
        <is>
          <t>Percent complete</t>
        </is>
      </c>
      <c r="L10" s="24" t="inlineStr">
        <is>
          <t>Overdue milestones</t>
        </is>
      </c>
      <c r="M10" s="24" t="inlineStr">
        <is>
          <t>Open high risks</t>
        </is>
      </c>
    </row>
    <row r="11" ht="30" customHeight="1">
      <c r="B11" s="26" t="str">
        <f>IFERROR(IF(INDEX(tblObjectives[ID],ROWS($B$11:$B11))="","",INDEX(tblObjectives[ID],ROWS($B$11:$B11))),"")</f>
        <v>OBJ-1</v>
      </c>
      <c r="C11" s="27" t="str">
        <f>IF($B11="","",INDEX(tblObjectives[Objective],ROWS($B$11:$B11))&amp;"")</f>
        <v>Secure state enabling authority for a county transportation local-option sales tax</v>
      </c>
      <c r="D11" s="28" t="n"/>
      <c r="E11" s="28" t="n"/>
      <c r="F11" s="28" t="n"/>
      <c r="G11" s="27" t="str">
        <f>IF($B11="","",INDEX(tblObjectives[Lead],ROWS($B$11:$B11))&amp;"")</f>
        <v>Jordan Pike</v>
      </c>
      <c r="H11" s="29" t="str">
        <f>IF($B11="","",INDEX(tblObjectives[Status],ROWS($B$11:$B11))&amp;"")</f>
        <v>On Track</v>
      </c>
      <c r="I11" s="30">
        <f>IF($B11="","",IF(INDEX(tblObjectives[Target Date],ROWS($B$11:$B11))="","",INDEX(tblObjectives[Target Date],ROWS($B$11:$B11))))</f>
        <v>46535.0</v>
      </c>
      <c r="J11" s="27" t="str">
        <f>IF($B11="","",INDEX(tblObjectives[Milestones Complete],ROWS($B$11:$B11))&amp;" of "&amp;INDEX(tblObjectives[Milestones],ROWS($B$11:$B11)))</f>
        <v>5 of 8</v>
      </c>
      <c r="K11" s="31">
        <f>IF($B11="","",INDEX(tblObjectives[Percent Complete],ROWS($B$11:$B11)))</f>
        <v>0.625</v>
      </c>
      <c r="L11" s="32">
        <f>IF($B11="","",INDEX(tblObjectives[Overdue Milestones],ROWS($B$11:$B11)))</f>
        <v>0</v>
      </c>
      <c r="M11" s="32">
        <f>IF($B11="","",INDEX(tblObjectives[Open High Risks],ROWS($B$11:$B11)))</f>
        <v>2</v>
      </c>
    </row>
    <row r="12" ht="30" customHeight="1">
      <c r="B12" s="26" t="str">
        <f>IFERROR(IF(INDEX(tblObjectives[ID],ROWS($B$11:$B12))="","",INDEX(tblObjectives[ID],ROWS($B$11:$B12))),"")</f>
        <v>OBJ-2</v>
      </c>
      <c r="C12" s="27" t="str">
        <f>IF($B12="","",INDEX(tblObjectives[Objective],ROWS($B$11:$B12))&amp;"")</f>
        <v>Preserve county stormwater and permitting standards in state uniformity legislation</v>
      </c>
      <c r="D12" s="28" t="n"/>
      <c r="E12" s="28" t="n"/>
      <c r="F12" s="28" t="n"/>
      <c r="G12" s="27" t="str">
        <f>IF($B12="","",INDEX(tblObjectives[Lead],ROWS($B$11:$B12))&amp;"")</f>
        <v>Jordan Pike</v>
      </c>
      <c r="H12" s="29" t="str">
        <f>IF($B12="","",INDEX(tblObjectives[Status],ROWS($B$11:$B12))&amp;"")</f>
        <v>On Track</v>
      </c>
      <c r="I12" s="30">
        <f>IF($B12="","",IF(INDEX(tblObjectives[Target Date],ROWS($B$11:$B12))="","",INDEX(tblObjectives[Target Date],ROWS($B$11:$B12))))</f>
        <v>46521.0</v>
      </c>
      <c r="J12" s="27" t="str">
        <f>IF($B12="","",INDEX(tblObjectives[Milestones Complete],ROWS($B$11:$B12))&amp;" of "&amp;INDEX(tblObjectives[Milestones],ROWS($B$11:$B12)))</f>
        <v>3 of 5</v>
      </c>
      <c r="K12" s="31">
        <f>IF($B12="","",INDEX(tblObjectives[Percent Complete],ROWS($B$11:$B12)))</f>
        <v>0.6</v>
      </c>
      <c r="L12" s="32">
        <f>IF($B12="","",INDEX(tblObjectives[Overdue Milestones],ROWS($B$11:$B12)))</f>
        <v>0</v>
      </c>
      <c r="M12" s="32">
        <f>IF($B12="","",INDEX(tblObjectives[Open High Risks],ROWS($B$11:$B12)))</f>
        <v>1</v>
      </c>
    </row>
    <row r="13" ht="30" customHeight="1">
      <c r="B13" s="26" t="str">
        <f>IFERROR(IF(INDEX(tblObjectives[ID],ROWS($B$11:$B13))="","",INDEX(tblObjectives[ID],ROWS($B$11:$B13))),"")</f>
        <v>OBJ-3</v>
      </c>
      <c r="C13" s="27" t="str">
        <f>IF($B13="","",INDEX(tblObjectives[Objective],ROWS($B$11:$B13))&amp;"")</f>
        <v>Position the Calloway River Bridge replacement for a competitive federal discretionary grant</v>
      </c>
      <c r="D13" s="28" t="n"/>
      <c r="E13" s="28" t="n"/>
      <c r="F13" s="28" t="n"/>
      <c r="G13" s="27" t="str">
        <f>IF($B13="","",INDEX(tblObjectives[Lead],ROWS($B$11:$B13))&amp;"")</f>
        <v>Samuel Ortega</v>
      </c>
      <c r="H13" s="29" t="str">
        <f>IF($B13="","",INDEX(tblObjectives[Status],ROWS($B$11:$B13))&amp;"")</f>
        <v>At Risk</v>
      </c>
      <c r="I13" s="30">
        <f>IF($B13="","",IF(INDEX(tblObjectives[Target Date],ROWS($B$11:$B13))="","",INDEX(tblObjectives[Target Date],ROWS($B$11:$B13))))</f>
        <v>46660.0</v>
      </c>
      <c r="J13" s="27" t="str">
        <f>IF($B13="","",INDEX(tblObjectives[Milestones Complete],ROWS($B$11:$B13))&amp;" of "&amp;INDEX(tblObjectives[Milestones],ROWS($B$11:$B13)))</f>
        <v>2 of 8</v>
      </c>
      <c r="K13" s="31">
        <f>IF($B13="","",INDEX(tblObjectives[Percent Complete],ROWS($B$11:$B13)))</f>
        <v>0.25</v>
      </c>
      <c r="L13" s="32">
        <f>IF($B13="","",INDEX(tblObjectives[Overdue Milestones],ROWS($B$11:$B13)))</f>
        <v>0</v>
      </c>
      <c r="M13" s="32">
        <f>IF($B13="","",INDEX(tblObjectives[Open High Risks],ROWS($B$11:$B13)))</f>
        <v>2</v>
      </c>
    </row>
    <row r="14" ht="30" customHeight="1">
      <c r="B14" s="26" t="str">
        <f>IFERROR(IF(INDEX(tblObjectives[ID],ROWS($B$11:$B14))="","",INDEX(tblObjectives[ID],ROWS($B$11:$B14))),"")</f>
        <v>OBJ-4</v>
      </c>
      <c r="C14" s="27" t="str">
        <f>IF($B14="","",INDEX(tblObjectives[Objective],ROWS($B$11:$B14))&amp;"")</f>
        <v>Execute the Calloway River Bridge interlocal agreement</v>
      </c>
      <c r="D14" s="28" t="n"/>
      <c r="E14" s="28" t="n"/>
      <c r="F14" s="28" t="n"/>
      <c r="G14" s="27" t="str">
        <f>IF($B14="","",INDEX(tblObjectives[Lead],ROWS($B$11:$B14))&amp;"")</f>
        <v>Alicia Brandt</v>
      </c>
      <c r="H14" s="29" t="str">
        <f>IF($B14="","",INDEX(tblObjectives[Status],ROWS($B$11:$B14))&amp;"")</f>
        <v>At Risk</v>
      </c>
      <c r="I14" s="30">
        <f>IF($B14="","",IF(INDEX(tblObjectives[Target Date],ROWS($B$11:$B14))="","",INDEX(tblObjectives[Target Date],ROWS($B$11:$B14))))</f>
        <v>46630.0</v>
      </c>
      <c r="J14" s="27" t="str">
        <f>IF($B14="","",INDEX(tblObjectives[Milestones Complete],ROWS($B$11:$B14))&amp;" of "&amp;INDEX(tblObjectives[Milestones],ROWS($B$11:$B14)))</f>
        <v>0 of 4</v>
      </c>
      <c r="K14" s="31">
        <f>IF($B14="","",INDEX(tblObjectives[Percent Complete],ROWS($B$11:$B14)))</f>
        <v>0</v>
      </c>
      <c r="L14" s="32">
        <f>IF($B14="","",INDEX(tblObjectives[Overdue Milestones],ROWS($B$11:$B14)))</f>
        <v>0</v>
      </c>
      <c r="M14" s="32">
        <f>IF($B14="","",INDEX(tblObjectives[Open High Risks],ROWS($B$11:$B14)))</f>
        <v>1</v>
      </c>
    </row>
    <row r="15" ht="30" customHeight="1">
      <c r="B15" s="26" t="str">
        <f>IFERROR(IF(INDEX(tblObjectives[ID],ROWS($B$11:$B15))="","",INDEX(tblObjectives[ID],ROWS($B$11:$B15))),"")</f>
        <v>OBJ-5</v>
      </c>
      <c r="C15" s="27" t="str">
        <f>IF($B15="","",INDEX(tblObjectives[Objective],ROWS($B$11:$B15))&amp;"")</f>
        <v>Establish a standing coordination process with the Three Fords Tribal Nation</v>
      </c>
      <c r="D15" s="28" t="n"/>
      <c r="E15" s="28" t="n"/>
      <c r="F15" s="28" t="n"/>
      <c r="G15" s="27" t="str">
        <f>IF($B15="","",INDEX(tblObjectives[Lead],ROWS($B$11:$B15))&amp;"")</f>
        <v>Elena Marsh</v>
      </c>
      <c r="H15" s="29" t="str">
        <f>IF($B15="","",INDEX(tblObjectives[Status],ROWS($B$11:$B15))&amp;"")</f>
        <v>Off Track</v>
      </c>
      <c r="I15" s="30">
        <f>IF($B15="","",IF(INDEX(tblObjectives[Target Date],ROWS($B$11:$B15))="","",INDEX(tblObjectives[Target Date],ROWS($B$11:$B15))))</f>
        <v>46612.0</v>
      </c>
      <c r="J15" s="27" t="str">
        <f>IF($B15="","",INDEX(tblObjectives[Milestones Complete],ROWS($B$11:$B15))&amp;" of "&amp;INDEX(tblObjectives[Milestones],ROWS($B$11:$B15)))</f>
        <v>1 of 5</v>
      </c>
      <c r="K15" s="31">
        <f>IF($B15="","",INDEX(tblObjectives[Percent Complete],ROWS($B$11:$B15)))</f>
        <v>0.2</v>
      </c>
      <c r="L15" s="32">
        <f>IF($B15="","",INDEX(tblObjectives[Overdue Milestones],ROWS($B$11:$B15)))</f>
        <v>0</v>
      </c>
      <c r="M15" s="32">
        <f>IF($B15="","",INDEX(tblObjectives[Open High Risks],ROWS($B$11:$B15)))</f>
        <v>0</v>
      </c>
    </row>
    <row r="16" ht="30" customHeight="1">
      <c r="B16" s="26" t="str">
        <f>IFERROR(IF(INDEX(tblObjectives[ID],ROWS($B$11:$B16))="","",INDEX(tblObjectives[ID],ROWS($B$11:$B16))),"")</f>
        <v>OBJ-6</v>
      </c>
      <c r="C16" s="27" t="str">
        <f>IF($B16="","",INDEX(tblObjectives[Objective],ROWS($B$11:$B16))&amp;"")</f>
        <v>Establish one executive reporting and position-clearance process</v>
      </c>
      <c r="D16" s="28" t="n"/>
      <c r="E16" s="28" t="n"/>
      <c r="F16" s="28" t="n"/>
      <c r="G16" s="27" t="str">
        <f>IF($B16="","",INDEX(tblObjectives[Lead],ROWS($B$11:$B16))&amp;"")</f>
        <v>Elena Marsh</v>
      </c>
      <c r="H16" s="29" t="str">
        <f>IF($B16="","",INDEX(tblObjectives[Status],ROWS($B$11:$B16))&amp;"")</f>
        <v>On Track</v>
      </c>
      <c r="I16" s="30">
        <f>IF($B16="","",IF(INDEX(tblObjectives[Target Date],ROWS($B$11:$B16))="","",INDEX(tblObjectives[Target Date],ROWS($B$11:$B16))))</f>
        <v>46675.0</v>
      </c>
      <c r="J16" s="27" t="str">
        <f>IF($B16="","",INDEX(tblObjectives[Milestones Complete],ROWS($B$11:$B16))&amp;" of "&amp;INDEX(tblObjectives[Milestones],ROWS($B$11:$B16)))</f>
        <v>2 of 6</v>
      </c>
      <c r="K16" s="31">
        <f>IF($B16="","",INDEX(tblObjectives[Percent Complete],ROWS($B$11:$B16)))</f>
        <v>0.333333333333333</v>
      </c>
      <c r="L16" s="32">
        <f>IF($B16="","",INDEX(tblObjectives[Overdue Milestones],ROWS($B$11:$B16)))</f>
        <v>0</v>
      </c>
      <c r="M16" s="32">
        <f>IF($B16="","",INDEX(tblObjectives[Open High Risks],ROWS($B$11:$B16)))</f>
        <v>0</v>
      </c>
    </row>
    <row r="17" ht="18" customHeight="1">
      <c r="B17" s="26" t="str">
        <f>IFERROR(IF(INDEX(tblObjectives[ID],ROWS($B$11:$B17))="","",INDEX(tblObjectives[ID],ROWS($B$11:$B17))),"")</f>
        <v/>
      </c>
      <c r="C17" s="27" t="str">
        <f>IF($B17="","",INDEX(tblObjectives[Objective],ROWS($B$11:$B17))&amp;"")</f>
        <v/>
      </c>
      <c r="D17" s="28" t="n"/>
      <c r="E17" s="28" t="n"/>
      <c r="F17" s="28" t="n"/>
      <c r="G17" s="27" t="str">
        <f>IF($B17="","",INDEX(tblObjectives[Lead],ROWS($B$11:$B17))&amp;"")</f>
        <v/>
      </c>
      <c r="H17" s="29" t="str">
        <f>IF($B17="","",INDEX(tblObjectives[Status],ROWS($B$11:$B17))&amp;"")</f>
        <v/>
      </c>
      <c r="I17" s="30" t="str">
        <f>IF($B17="","",IF(INDEX(tblObjectives[Target Date],ROWS($B$11:$B17))="","",INDEX(tblObjectives[Target Date],ROWS($B$11:$B17))))</f>
        <v/>
      </c>
      <c r="J17" s="27" t="str">
        <f>IF($B17="","",INDEX(tblObjectives[Milestones Complete],ROWS($B$11:$B17))&amp;" of "&amp;INDEX(tblObjectives[Milestones],ROWS($B$11:$B17)))</f>
        <v/>
      </c>
      <c r="K17" s="31" t="str">
        <f>IF($B17="","",INDEX(tblObjectives[Percent Complete],ROWS($B$11:$B17)))</f>
        <v/>
      </c>
      <c r="L17" s="32" t="str">
        <f>IF($B17="","",INDEX(tblObjectives[Overdue Milestones],ROWS($B$11:$B17)))</f>
        <v/>
      </c>
      <c r="M17" s="32" t="str">
        <f>IF($B17="","",INDEX(tblObjectives[Open High Risks],ROWS($B$11:$B17)))</f>
        <v/>
      </c>
    </row>
    <row r="18" ht="18" customHeight="1">
      <c r="B18" s="26" t="str">
        <f>IFERROR(IF(INDEX(tblObjectives[ID],ROWS($B$11:$B18))="","",INDEX(tblObjectives[ID],ROWS($B$11:$B18))),"")</f>
        <v/>
      </c>
      <c r="C18" s="27" t="str">
        <f>IF($B18="","",INDEX(tblObjectives[Objective],ROWS($B$11:$B18))&amp;"")</f>
        <v/>
      </c>
      <c r="D18" s="28" t="n"/>
      <c r="E18" s="28" t="n"/>
      <c r="F18" s="28" t="n"/>
      <c r="G18" s="27" t="str">
        <f>IF($B18="","",INDEX(tblObjectives[Lead],ROWS($B$11:$B18))&amp;"")</f>
        <v/>
      </c>
      <c r="H18" s="29" t="str">
        <f>IF($B18="","",INDEX(tblObjectives[Status],ROWS($B$11:$B18))&amp;"")</f>
        <v/>
      </c>
      <c r="I18" s="30" t="str">
        <f>IF($B18="","",IF(INDEX(tblObjectives[Target Date],ROWS($B$11:$B18))="","",INDEX(tblObjectives[Target Date],ROWS($B$11:$B18))))</f>
        <v/>
      </c>
      <c r="J18" s="27" t="str">
        <f>IF($B18="","",INDEX(tblObjectives[Milestones Complete],ROWS($B$11:$B18))&amp;" of "&amp;INDEX(tblObjectives[Milestones],ROWS($B$11:$B18)))</f>
        <v/>
      </c>
      <c r="K18" s="31" t="str">
        <f>IF($B18="","",INDEX(tblObjectives[Percent Complete],ROWS($B$11:$B18)))</f>
        <v/>
      </c>
      <c r="L18" s="32" t="str">
        <f>IF($B18="","",INDEX(tblObjectives[Overdue Milestones],ROWS($B$11:$B18)))</f>
        <v/>
      </c>
      <c r="M18" s="32" t="str">
        <f>IF($B18="","",INDEX(tblObjectives[Open High Risks],ROWS($B$11:$B18)))</f>
        <v/>
      </c>
    </row>
    <row r="19" ht="18" customHeight="1">
      <c r="B19" s="26" t="str">
        <f>IFERROR(IF(INDEX(tblObjectives[ID],ROWS($B$11:$B19))="","",INDEX(tblObjectives[ID],ROWS($B$11:$B19))),"")</f>
        <v/>
      </c>
      <c r="C19" s="27" t="str">
        <f>IF($B19="","",INDEX(tblObjectives[Objective],ROWS($B$11:$B19))&amp;"")</f>
        <v/>
      </c>
      <c r="D19" s="28" t="n"/>
      <c r="E19" s="28" t="n"/>
      <c r="F19" s="28" t="n"/>
      <c r="G19" s="27" t="str">
        <f>IF($B19="","",INDEX(tblObjectives[Lead],ROWS($B$11:$B19))&amp;"")</f>
        <v/>
      </c>
      <c r="H19" s="29" t="str">
        <f>IF($B19="","",INDEX(tblObjectives[Status],ROWS($B$11:$B19))&amp;"")</f>
        <v/>
      </c>
      <c r="I19" s="30" t="str">
        <f>IF($B19="","",IF(INDEX(tblObjectives[Target Date],ROWS($B$11:$B19))="","",INDEX(tblObjectives[Target Date],ROWS($B$11:$B19))))</f>
        <v/>
      </c>
      <c r="J19" s="27" t="str">
        <f>IF($B19="","",INDEX(tblObjectives[Milestones Complete],ROWS($B$11:$B19))&amp;" of "&amp;INDEX(tblObjectives[Milestones],ROWS($B$11:$B19)))</f>
        <v/>
      </c>
      <c r="K19" s="31" t="str">
        <f>IF($B19="","",INDEX(tblObjectives[Percent Complete],ROWS($B$11:$B19)))</f>
        <v/>
      </c>
      <c r="L19" s="32" t="str">
        <f>IF($B19="","",INDEX(tblObjectives[Overdue Milestones],ROWS($B$11:$B19)))</f>
        <v/>
      </c>
      <c r="M19" s="32" t="str">
        <f>IF($B19="","",INDEX(tblObjectives[Open High Risks],ROWS($B$11:$B19)))</f>
        <v/>
      </c>
    </row>
    <row r="20" ht="18" customHeight="1">
      <c r="B20" s="26" t="str">
        <f>IFERROR(IF(INDEX(tblObjectives[ID],ROWS($B$11:$B20))="","",INDEX(tblObjectives[ID],ROWS($B$11:$B20))),"")</f>
        <v/>
      </c>
      <c r="C20" s="27" t="str">
        <f>IF($B20="","",INDEX(tblObjectives[Objective],ROWS($B$11:$B20))&amp;"")</f>
        <v/>
      </c>
      <c r="D20" s="28" t="n"/>
      <c r="E20" s="28" t="n"/>
      <c r="F20" s="28" t="n"/>
      <c r="G20" s="27" t="str">
        <f>IF($B20="","",INDEX(tblObjectives[Lead],ROWS($B$11:$B20))&amp;"")</f>
        <v/>
      </c>
      <c r="H20" s="29" t="str">
        <f>IF($B20="","",INDEX(tblObjectives[Status],ROWS($B$11:$B20))&amp;"")</f>
        <v/>
      </c>
      <c r="I20" s="30" t="str">
        <f>IF($B20="","",IF(INDEX(tblObjectives[Target Date],ROWS($B$11:$B20))="","",INDEX(tblObjectives[Target Date],ROWS($B$11:$B20))))</f>
        <v/>
      </c>
      <c r="J20" s="27" t="str">
        <f>IF($B20="","",INDEX(tblObjectives[Milestones Complete],ROWS($B$11:$B20))&amp;" of "&amp;INDEX(tblObjectives[Milestones],ROWS($B$11:$B20)))</f>
        <v/>
      </c>
      <c r="K20" s="31" t="str">
        <f>IF($B20="","",INDEX(tblObjectives[Percent Complete],ROWS($B$11:$B20)))</f>
        <v/>
      </c>
      <c r="L20" s="32" t="str">
        <f>IF($B20="","",INDEX(tblObjectives[Overdue Milestones],ROWS($B$11:$B20)))</f>
        <v/>
      </c>
      <c r="M20" s="32" t="str">
        <f>IF($B20="","",INDEX(tblObjectives[Open High Risks],ROWS($B$11:$B20)))</f>
        <v/>
      </c>
    </row>
    <row r="21">
      <c r="B21" s="33" t="str">
        <f>IF(COUNTIFS(tblObjectives[ID],"?*")&gt;10,"Showing the first 10 objectives. See the Objectives sheet for the rest.","")</f>
        <v/>
      </c>
    </row>
    <row r="23" ht="18" customHeight="1">
      <c r="B23" s="3" t="inlineStr">
        <is>
          <t>MILESTONES BY QUARTER</t>
        </is>
      </c>
      <c r="C23" s="4" t="n"/>
      <c r="D23" s="4" t="n"/>
      <c r="E23" s="4" t="n"/>
      <c r="F23" s="4" t="n"/>
      <c r="G23" s="4" t="n"/>
      <c r="I23" s="3" t="inlineStr">
        <is>
          <t>OBJECTIVES BY STATUS</t>
        </is>
      </c>
      <c r="J23" s="4" t="n"/>
      <c r="K23" s="4" t="n"/>
      <c r="L23" s="4" t="n"/>
      <c r="M23" s="4" t="n"/>
    </row>
    <row r="24" ht="30" customHeight="1">
      <c r="B24" s="24" t="inlineStr">
        <is>
          <t>Quarter</t>
        </is>
      </c>
      <c r="C24" s="24" t="inlineStr">
        <is>
          <t>Total</t>
        </is>
      </c>
      <c r="D24" s="24" t="inlineStr">
        <is>
          <t>Complete</t>
        </is>
      </c>
      <c r="E24" s="24" t="inlineStr">
        <is>
          <t>Open, on schedule</t>
        </is>
      </c>
      <c r="F24" s="24" t="inlineStr">
        <is>
          <t>Overdue</t>
        </is>
      </c>
      <c r="G24" s="24" t="inlineStr">
        <is>
          <t>Slipped from original date</t>
        </is>
      </c>
      <c r="I24" s="24" t="inlineStr">
        <is>
          <t>Status</t>
        </is>
      </c>
      <c r="J24" s="25" t="n"/>
      <c r="K24" s="24" t="inlineStr">
        <is>
          <t>Count</t>
        </is>
      </c>
    </row>
    <row r="25">
      <c r="B25" s="34" t="inlineStr">
        <is>
          <t>Q1</t>
        </is>
      </c>
      <c r="C25" s="35">
        <f>COUNTIFS(tblMilestones[Quarter],$B25,tblMilestones[ID],"?*")</f>
        <v>13</v>
      </c>
      <c r="D25" s="35">
        <f>COUNTIFS(tblMilestones[Quarter],$B25,tblMilestones[Status],"Complete")</f>
        <v>13</v>
      </c>
      <c r="E25" s="35">
        <f>C25-D25-F25</f>
        <v>0</v>
      </c>
      <c r="F25" s="35">
        <f>COUNTIFS(tblMilestones[Quarter],$B25,tblMilestones[Schedule Flag],"Overdue")</f>
        <v>0</v>
      </c>
      <c r="G25" s="35">
        <f>SUMPRODUCT((tblMilestones[Quarter]=$B25)*(tblMilestones[Slip Days]&lt;&gt;"")*(tblMilestones[Slip Days]&gt;0))</f>
        <v>1</v>
      </c>
      <c r="I25" s="34" t="inlineStr">
        <is>
          <t>Not Started</t>
        </is>
      </c>
      <c r="J25" s="28" t="n"/>
      <c r="K25" s="35">
        <f>COUNTIFS(tblObjectives[Status],$I25)</f>
        <v>0</v>
      </c>
    </row>
    <row r="26">
      <c r="B26" s="34" t="inlineStr">
        <is>
          <t>Q2</t>
        </is>
      </c>
      <c r="C26" s="35">
        <f>COUNTIFS(tblMilestones[Quarter],$B26,tblMilestones[ID],"?*")</f>
        <v>14</v>
      </c>
      <c r="D26" s="35">
        <f>COUNTIFS(tblMilestones[Quarter],$B26,tblMilestones[Status],"Complete")</f>
        <v>0</v>
      </c>
      <c r="E26" s="35">
        <f>C26-D26-F26</f>
        <v>14</v>
      </c>
      <c r="F26" s="35">
        <f>COUNTIFS(tblMilestones[Quarter],$B26,tblMilestones[Schedule Flag],"Overdue")</f>
        <v>0</v>
      </c>
      <c r="G26" s="35">
        <f>SUMPRODUCT((tblMilestones[Quarter]=$B26)*(tblMilestones[Slip Days]&lt;&gt;"")*(tblMilestones[Slip Days]&gt;0))</f>
        <v>1</v>
      </c>
      <c r="I26" s="34" t="inlineStr">
        <is>
          <t>On Track</t>
        </is>
      </c>
      <c r="J26" s="28" t="n"/>
      <c r="K26" s="35">
        <f>COUNTIFS(tblObjectives[Status],$I26)</f>
        <v>3</v>
      </c>
    </row>
    <row r="27">
      <c r="B27" s="34" t="inlineStr">
        <is>
          <t>Q3</t>
        </is>
      </c>
      <c r="C27" s="35">
        <f>COUNTIFS(tblMilestones[Quarter],$B27,tblMilestones[ID],"?*")</f>
        <v>8</v>
      </c>
      <c r="D27" s="35">
        <f>COUNTIFS(tblMilestones[Quarter],$B27,tblMilestones[Status],"Complete")</f>
        <v>0</v>
      </c>
      <c r="E27" s="35">
        <f>C27-D27-F27</f>
        <v>8</v>
      </c>
      <c r="F27" s="35">
        <f>COUNTIFS(tblMilestones[Quarter],$B27,tblMilestones[Schedule Flag],"Overdue")</f>
        <v>0</v>
      </c>
      <c r="G27" s="35">
        <f>SUMPRODUCT((tblMilestones[Quarter]=$B27)*(tblMilestones[Slip Days]&lt;&gt;"")*(tblMilestones[Slip Days]&gt;0))</f>
        <v>0</v>
      </c>
      <c r="I27" s="34" t="inlineStr">
        <is>
          <t>At Risk</t>
        </is>
      </c>
      <c r="J27" s="28" t="n"/>
      <c r="K27" s="35">
        <f>COUNTIFS(tblObjectives[Status],$I27)</f>
        <v>2</v>
      </c>
    </row>
    <row r="28">
      <c r="B28" s="34" t="inlineStr">
        <is>
          <t>Q4</t>
        </is>
      </c>
      <c r="C28" s="35">
        <f>COUNTIFS(tblMilestones[Quarter],$B28,tblMilestones[ID],"?*")</f>
        <v>1</v>
      </c>
      <c r="D28" s="35">
        <f>COUNTIFS(tblMilestones[Quarter],$B28,tblMilestones[Status],"Complete")</f>
        <v>0</v>
      </c>
      <c r="E28" s="35">
        <f>C28-D28-F28</f>
        <v>1</v>
      </c>
      <c r="F28" s="35">
        <f>COUNTIFS(tblMilestones[Quarter],$B28,tblMilestones[Schedule Flag],"Overdue")</f>
        <v>0</v>
      </c>
      <c r="G28" s="35">
        <f>SUMPRODUCT((tblMilestones[Quarter]=$B28)*(tblMilestones[Slip Days]&lt;&gt;"")*(tblMilestones[Slip Days]&gt;0))</f>
        <v>0</v>
      </c>
      <c r="I28" s="34" t="inlineStr">
        <is>
          <t>Off Track</t>
        </is>
      </c>
      <c r="J28" s="28" t="n"/>
      <c r="K28" s="35">
        <f>COUNTIFS(tblObjectives[Status],$I28)</f>
        <v>1</v>
      </c>
    </row>
    <row r="29">
      <c r="B29" s="36" t="inlineStr">
        <is>
          <t>Total</t>
        </is>
      </c>
      <c r="C29" s="37">
        <f>SUM(C25:C28)</f>
        <v>36</v>
      </c>
      <c r="D29" s="37">
        <f>SUM(D25:D28)</f>
        <v>13</v>
      </c>
      <c r="E29" s="37">
        <f>SUM(E25:E28)</f>
        <v>23</v>
      </c>
      <c r="F29" s="37">
        <f>SUM(F25:F28)</f>
        <v>0</v>
      </c>
      <c r="G29" s="37">
        <f>SUM(G25:G28)</f>
        <v>2</v>
      </c>
      <c r="I29" s="34" t="inlineStr">
        <is>
          <t>Complete</t>
        </is>
      </c>
      <c r="J29" s="28" t="n"/>
      <c r="K29" s="35">
        <f>COUNTIFS(tblObjectives[Status],$I29)</f>
        <v>0</v>
      </c>
    </row>
    <row r="30">
      <c r="B30" s="33" t="str">
        <f>"Completed after their due date: "&amp;COUNTIFS(tblMilestones[Schedule Flag],"Completed Late")&amp;" of "&amp;COUNTIFS(tblMilestones[Status],"Complete")&amp;" completed milestones."</f>
        <v>Completed after their due date: 2 of 13 completed milestones.</v>
      </c>
      <c r="I30" s="34" t="inlineStr">
        <is>
          <t>Deferred</t>
        </is>
      </c>
      <c r="J30" s="28" t="n"/>
      <c r="K30" s="35">
        <f>COUNTIFS(tblObjectives[Status],$I30)</f>
        <v>0</v>
      </c>
    </row>
    <row r="31">
      <c r="I31" s="5" t="inlineStr">
        <is>
          <t>Total</t>
        </is>
      </c>
      <c r="K31" s="38">
        <f>SUM(K25:K30)</f>
        <v>6</v>
      </c>
    </row>
    <row r="32">
      <c r="I32" s="19" t="str">
        <f>IF(K31&lt;&gt;COUNTIFS(tblObjectives[ID],"?*"),"Some objectives have no status.","")</f>
        <v/>
      </c>
    </row>
    <row r="47" ht="18" customHeight="1">
      <c r="B47" s="3" t="inlineStr">
        <is>
          <t>RELATIONSHIPS: CONTACT STATUS BY TIER</t>
        </is>
      </c>
      <c r="C47" s="4" t="n"/>
      <c r="D47" s="4" t="n"/>
      <c r="E47" s="4" t="n"/>
      <c r="F47" s="4" t="n"/>
      <c r="G47" s="4" t="n"/>
      <c r="H47" s="4" t="n"/>
      <c r="J47" s="3" t="inlineStr">
        <is>
          <t>POSTURE, TIERS 1 AND 2</t>
        </is>
      </c>
      <c r="K47" s="4" t="n"/>
      <c r="L47" s="4" t="n"/>
      <c r="M47" s="4" t="n"/>
    </row>
    <row r="48" ht="28" customHeight="1">
      <c r="B48" s="24" t="inlineStr">
        <is>
          <t>Tier</t>
        </is>
      </c>
      <c r="C48" s="25" t="n"/>
      <c r="D48" s="24" t="inlineStr">
        <is>
          <t>Current</t>
        </is>
      </c>
      <c r="E48" s="24" t="inlineStr">
        <is>
          <t>Due soon</t>
        </is>
      </c>
      <c r="F48" s="24" t="inlineStr">
        <is>
          <t>Overdue</t>
        </is>
      </c>
      <c r="G48" s="24" t="inlineStr">
        <is>
          <t>No contact logged</t>
        </is>
      </c>
      <c r="H48" s="24" t="inlineStr">
        <is>
          <t>Total</t>
        </is>
      </c>
      <c r="J48" s="24" t="inlineStr">
        <is>
          <t>Posture</t>
        </is>
      </c>
      <c r="K48" s="25" t="n"/>
      <c r="L48" s="24" t="inlineStr">
        <is>
          <t>Count</t>
        </is>
      </c>
    </row>
    <row r="49">
      <c r="B49" s="34" t="inlineStr">
        <is>
          <t>Tier 1 Strategic</t>
        </is>
      </c>
      <c r="C49" s="28" t="n"/>
      <c r="D49" s="35">
        <f>COUNTIFS(tblRelationships[Tier],$B49,tblRelationships[Contact Status],"Current")</f>
        <v>4</v>
      </c>
      <c r="E49" s="35">
        <f>COUNTIFS(tblRelationships[Tier],$B49,tblRelationships[Contact Status],"Due Soon")</f>
        <v>0</v>
      </c>
      <c r="F49" s="35">
        <f>COUNTIFS(tblRelationships[Tier],$B49,tblRelationships[Contact Status],"Overdue")</f>
        <v>2</v>
      </c>
      <c r="G49" s="35">
        <f>COUNTIFS(tblRelationships[Tier],$B49,tblRelationships[Contact Status],"No Contact Logged")</f>
        <v>0</v>
      </c>
      <c r="H49" s="39">
        <f>COUNTIFS(tblRelationships[Tier],$B49,tblRelationships[ID],"?*")</f>
        <v>6</v>
      </c>
      <c r="J49" s="34" t="inlineStr">
        <is>
          <t>Aligned</t>
        </is>
      </c>
      <c r="K49" s="28" t="n"/>
      <c r="L49" s="35">
        <f>COUNTIFS(tblRelationships[Tier],"Tier 1*",tblRelationships[Posture],$J49)+COUNTIFS(tblRelationships[Tier],"Tier 2*",tblRelationships[Posture],$J49)</f>
        <v>7</v>
      </c>
    </row>
    <row r="50">
      <c r="B50" s="34" t="inlineStr">
        <is>
          <t>Tier 2 Priority</t>
        </is>
      </c>
      <c r="C50" s="28" t="n"/>
      <c r="D50" s="35">
        <f>COUNTIFS(tblRelationships[Tier],$B50,tblRelationships[Contact Status],"Current")</f>
        <v>3</v>
      </c>
      <c r="E50" s="35">
        <f>COUNTIFS(tblRelationships[Tier],$B50,tblRelationships[Contact Status],"Due Soon")</f>
        <v>0</v>
      </c>
      <c r="F50" s="35">
        <f>COUNTIFS(tblRelationships[Tier],$B50,tblRelationships[Contact Status],"Overdue")</f>
        <v>2</v>
      </c>
      <c r="G50" s="35">
        <f>COUNTIFS(tblRelationships[Tier],$B50,tblRelationships[Contact Status],"No Contact Logged")</f>
        <v>2</v>
      </c>
      <c r="H50" s="39">
        <f>COUNTIFS(tblRelationships[Tier],$B50,tblRelationships[ID],"?*")</f>
        <v>7</v>
      </c>
      <c r="J50" s="34" t="inlineStr">
        <is>
          <t>Mixed</t>
        </is>
      </c>
      <c r="K50" s="28" t="n"/>
      <c r="L50" s="35">
        <f>COUNTIFS(tblRelationships[Tier],"Tier 1*",tblRelationships[Posture],$J50)+COUNTIFS(tblRelationships[Tier],"Tier 2*",tblRelationships[Posture],$J50)</f>
        <v>3</v>
      </c>
    </row>
    <row r="51">
      <c r="B51" s="34" t="inlineStr">
        <is>
          <t>Tier 3 Maintain</t>
        </is>
      </c>
      <c r="C51" s="28" t="n"/>
      <c r="D51" s="35">
        <f>COUNTIFS(tblRelationships[Tier],$B51,tblRelationships[Contact Status],"Current")</f>
        <v>1</v>
      </c>
      <c r="E51" s="35">
        <f>COUNTIFS(tblRelationships[Tier],$B51,tblRelationships[Contact Status],"Due Soon")</f>
        <v>0</v>
      </c>
      <c r="F51" s="35">
        <f>COUNTIFS(tblRelationships[Tier],$B51,tblRelationships[Contact Status],"Overdue")</f>
        <v>0</v>
      </c>
      <c r="G51" s="35">
        <f>COUNTIFS(tblRelationships[Tier],$B51,tblRelationships[Contact Status],"No Contact Logged")</f>
        <v>1</v>
      </c>
      <c r="H51" s="39">
        <f>COUNTIFS(tblRelationships[Tier],$B51,tblRelationships[ID],"?*")</f>
        <v>2</v>
      </c>
      <c r="J51" s="34" t="inlineStr">
        <is>
          <t>Divergent</t>
        </is>
      </c>
      <c r="K51" s="28" t="n"/>
      <c r="L51" s="35">
        <f>COUNTIFS(tblRelationships[Tier],"Tier 1*",tblRelationships[Posture],$J51)+COUNTIFS(tblRelationships[Tier],"Tier 2*",tblRelationships[Posture],$J51)</f>
        <v>0</v>
      </c>
    </row>
    <row r="52">
      <c r="B52" s="34" t="inlineStr">
        <is>
          <t>Tier 4 Monitor</t>
        </is>
      </c>
      <c r="C52" s="28" t="n"/>
      <c r="D52" s="35">
        <f>COUNTIFS(tblRelationships[Tier],$B52,tblRelationships[Contact Status],"Current")</f>
        <v>0</v>
      </c>
      <c r="E52" s="35">
        <f>COUNTIFS(tblRelationships[Tier],$B52,tblRelationships[Contact Status],"Due Soon")</f>
        <v>0</v>
      </c>
      <c r="F52" s="35">
        <f>COUNTIFS(tblRelationships[Tier],$B52,tblRelationships[Contact Status],"Overdue")</f>
        <v>0</v>
      </c>
      <c r="G52" s="35">
        <f>COUNTIFS(tblRelationships[Tier],$B52,tblRelationships[Contact Status],"No Contact Logged")</f>
        <v>1</v>
      </c>
      <c r="H52" s="39">
        <f>COUNTIFS(tblRelationships[Tier],$B52,tblRelationships[ID],"?*")</f>
        <v>1</v>
      </c>
      <c r="J52" s="34" t="inlineStr">
        <is>
          <t>Unknown</t>
        </is>
      </c>
      <c r="K52" s="28" t="n"/>
      <c r="L52" s="35">
        <f>COUNTIFS(tblRelationships[Tier],"Tier 1*",tblRelationships[Posture],$J52)+COUNTIFS(tblRelationships[Tier],"Tier 2*",tblRelationships[Posture],$J52)</f>
        <v>3</v>
      </c>
    </row>
    <row r="53">
      <c r="B53" s="36" t="inlineStr">
        <is>
          <t>Total</t>
        </is>
      </c>
      <c r="C53" s="40" t="n"/>
      <c r="D53" s="37">
        <f>SUM(D49:D52)</f>
        <v>8</v>
      </c>
      <c r="E53" s="37">
        <f>SUM(E49:E52)</f>
        <v>0</v>
      </c>
      <c r="F53" s="37">
        <f>SUM(F49:F52)</f>
        <v>4</v>
      </c>
      <c r="G53" s="37">
        <f>SUM(G49:G52)</f>
        <v>4</v>
      </c>
      <c r="H53" s="37">
        <f>SUM(H49:H52)</f>
        <v>16</v>
      </c>
    </row>
    <row r="54">
      <c r="B54" s="33" t="str">
        <f>"As Needed relationships are not counted in the status columns: "&amp;COUNTIFS(tblRelationships[Contact Status],"As Needed")&amp;". Strained relationships: "&amp;COUNTIFS(tblRelationships[Relationship Health],"Strained")&amp;"."</f>
        <v>As Needed relationships are not counted in the status columns: 0. Strained relationships: 0.</v>
      </c>
    </row>
    <row r="57" ht="18" customHeight="1">
      <c r="B57" s="3" t="inlineStr">
        <is>
          <t>LEGISLATIVE AND ADMINISTRATIVE PRIORITIES</t>
        </is>
      </c>
      <c r="C57" s="4" t="n"/>
      <c r="D57" s="4" t="n"/>
      <c r="E57" s="4" t="n"/>
      <c r="F57" s="4" t="n"/>
      <c r="G57" s="4" t="n"/>
      <c r="H57" s="4" t="n"/>
      <c r="I57" s="4" t="n"/>
      <c r="J57" s="4" t="n"/>
      <c r="K57" s="4" t="n"/>
      <c r="L57" s="4" t="n"/>
      <c r="M57" s="4" t="n"/>
    </row>
    <row r="58" ht="30" customHeight="1">
      <c r="B58" s="24" t="inlineStr">
        <is>
          <t>Track</t>
        </is>
      </c>
      <c r="C58" s="25" t="n"/>
      <c r="D58" s="24" t="inlineStr">
        <is>
          <t>Open items</t>
        </is>
      </c>
      <c r="E58" s="24" t="inlineStr">
        <is>
          <t>Clearance needed</t>
        </is>
      </c>
      <c r="F58" s="24" t="inlineStr">
        <is>
          <t>Key date within 14 days</t>
        </is>
      </c>
      <c r="H58" s="24" t="inlineStr">
        <is>
          <t>Next five key dates</t>
        </is>
      </c>
      <c r="I58" s="24" t="inlineStr">
        <is>
          <t>Matter</t>
        </is>
      </c>
      <c r="J58" s="25" t="n"/>
      <c r="K58" s="25" t="n"/>
      <c r="L58" s="24" t="inlineStr">
        <is>
          <t>Date</t>
        </is>
      </c>
      <c r="M58" s="24" t="inlineStr">
        <is>
          <t>Days</t>
        </is>
      </c>
    </row>
    <row r="59" ht="28" customHeight="1">
      <c r="B59" s="34" t="inlineStr">
        <is>
          <t>Legislative</t>
        </is>
      </c>
      <c r="C59" s="28" t="n"/>
      <c r="D59" s="35">
        <f>COUNTIFS(tblPriorities[Track],$B59,tblPriorities[Open],1)</f>
        <v>5</v>
      </c>
      <c r="E59" s="35">
        <f>COUNTIFS(tblPriorities[Track],$B59,tblPriorities[Attention],"Clearance Needed")</f>
        <v>1</v>
      </c>
      <c r="F59" s="35">
        <f>COUNTIFS(tblPriorities[Track],$B59,tblPriorities[Attention],"Key Date Within 14 Days")</f>
        <v>2</v>
      </c>
      <c r="H59" s="26" t="str">
        <f>IFERROR(INDEX(tblPriorities[ID],MATCH(1,tblPriorities[Upcoming Rank],0)),"")</f>
        <v>LEG-01</v>
      </c>
      <c r="I59" s="27" t="str">
        <f>IFERROR(INDEX(tblPriorities[Measure or Matter],MATCH(1,tblPriorities[Upcoming Rank],0))&amp;"","")</f>
        <v>SB 214, Local Transportation Sales Tax Authorization</v>
      </c>
      <c r="J59" s="28" t="n"/>
      <c r="K59" s="28" t="n"/>
      <c r="L59" s="30">
        <f>IFERROR(IF(INDEX(tblPriorities[Next Key Date],MATCH(1,tblPriorities[Upcoming Rank],0))="","",INDEX(tblPriorities[Next Key Date],MATCH(1,tblPriorities[Upcoming Rank],0))),"")</f>
        <v>46491.0</v>
      </c>
      <c r="M59" s="32">
        <f>IFERROR(INDEX(tblPriorities[Days to Key Date],MATCH(1,tblPriorities[Upcoming Rank],0)),"")</f>
        <v>6</v>
      </c>
    </row>
    <row r="60" ht="28" customHeight="1">
      <c r="B60" s="34" t="inlineStr">
        <is>
          <t>Administrative</t>
        </is>
      </c>
      <c r="C60" s="28" t="n"/>
      <c r="D60" s="35">
        <f>COUNTIFS(tblPriorities[Track],$B60,tblPriorities[Open],1)</f>
        <v>6</v>
      </c>
      <c r="E60" s="35">
        <f>COUNTIFS(tblPriorities[Track],$B60,tblPriorities[Attention],"Clearance Needed")</f>
        <v>0</v>
      </c>
      <c r="F60" s="35">
        <f>COUNTIFS(tblPriorities[Track],$B60,tblPriorities[Attention],"Key Date Within 14 Days")</f>
        <v>1</v>
      </c>
      <c r="H60" s="26" t="str">
        <f>IFERROR(INDEX(tblPriorities[ID],MATCH(2,tblPriorities[Upcoming Rank],0)),"")</f>
        <v>LEG-02</v>
      </c>
      <c r="I60" s="27" t="str">
        <f>IFERROR(INDEX(tblPriorities[Measure or Matter],MATCH(2,tblPriorities[Upcoming Rank],0))&amp;"","")</f>
        <v>HB 388, Local Permitting and Stormwater Uniformity</v>
      </c>
      <c r="J60" s="28" t="n"/>
      <c r="K60" s="28" t="n"/>
      <c r="L60" s="30">
        <f>IFERROR(IF(INDEX(tblPriorities[Next Key Date],MATCH(2,tblPriorities[Upcoming Rank],0))="","",INDEX(tblPriorities[Next Key Date],MATCH(2,tblPriorities[Upcoming Rank],0))),"")</f>
        <v>46493.0</v>
      </c>
      <c r="M60" s="32">
        <f>IFERROR(INDEX(tblPriorities[Days to Key Date],MATCH(2,tblPriorities[Upcoming Rank],0)),"")</f>
        <v>8</v>
      </c>
    </row>
    <row r="61" ht="28" customHeight="1">
      <c r="B61" s="36" t="inlineStr">
        <is>
          <t>Total</t>
        </is>
      </c>
      <c r="C61" s="40" t="n"/>
      <c r="D61" s="37">
        <f>SUM(D59:D60)</f>
        <v>11</v>
      </c>
      <c r="E61" s="37">
        <f>SUM(E59:E60)</f>
        <v>1</v>
      </c>
      <c r="F61" s="37">
        <f>SUM(F59:F60)</f>
        <v>3</v>
      </c>
      <c r="H61" s="26" t="str">
        <f>IFERROR(INDEX(tblPriorities[ID],MATCH(3,tblPriorities[Upcoming Rank],0)),"")</f>
        <v>ADM-06</v>
      </c>
      <c r="I61" s="27" t="str">
        <f>IFERROR(INDEX(tblPriorities[Measure or Matter],MATCH(3,tblPriorities[Upcoming Rank],0))&amp;"","")</f>
        <v>Governor's office position on SB 214</v>
      </c>
      <c r="J61" s="28" t="n"/>
      <c r="K61" s="28" t="n"/>
      <c r="L61" s="30">
        <f>IFERROR(IF(INDEX(tblPriorities[Next Key Date],MATCH(3,tblPriorities[Upcoming Rank],0))="","",INDEX(tblPriorities[Next Key Date],MATCH(3,tblPriorities[Upcoming Rank],0))),"")</f>
        <v>46499.0</v>
      </c>
      <c r="M61" s="32">
        <f>IFERROR(INDEX(tblPriorities[Days to Key Date],MATCH(3,tblPriorities[Upcoming Rank],0)),"")</f>
        <v>14</v>
      </c>
    </row>
    <row r="62" ht="28" customHeight="1">
      <c r="B62" s="41" t="str">
        <f>"Positions by status: Support "&amp;COUNTIFS(tblPriorities[Our Position],"Support",tblPriorities[Open],1)&amp;", Oppose "&amp;COUNTIFS(tblPriorities[Our Position],"Oppose",tblPriorities[Open],1)&amp;", Amend "&amp;COUNTIFS(tblPriorities[Our Position],"Amend",tblPriorities[Open],1)&amp;", Seek "&amp;COUNTIFS(tblPriorities[Our Position],"Seek",tblPriorities[Open],1)&amp;", Monitor "&amp;COUNTIFS(tblPriorities[Our Position],"Monitor",tblPriorities[Open],1)&amp;", Undecided "&amp;COUNTIFS(tblPriorities[Our Position],"Undecided",tblPriorities[Open],1)</f>
        <v>Positions by status: Support 2, Oppose 0, Amend 2, Seek 5, Monitor 1, Undecided 1</v>
      </c>
      <c r="H62" s="26" t="str">
        <f>IFERROR(INDEX(tblPriorities[ID],MATCH(4,tblPriorities[Upcoming Rank],0)),"")</f>
        <v>LEG-04</v>
      </c>
      <c r="I62" s="27" t="str">
        <f>IFERROR(INDEX(tblPriorities[Measure or Matter],MATCH(4,tblPriorities[Upcoming Rank],0))&amp;"","")</f>
        <v>Supplemental appropriation for the State DOT local bridge program</v>
      </c>
      <c r="J62" s="28" t="n"/>
      <c r="K62" s="28" t="n"/>
      <c r="L62" s="30">
        <f>IFERROR(IF(INDEX(tblPriorities[Next Key Date],MATCH(4,tblPriorities[Upcoming Rank],0))="","",INDEX(tblPriorities[Next Key Date],MATCH(4,tblPriorities[Upcoming Rank],0))),"")</f>
        <v>46506.0</v>
      </c>
      <c r="M62" s="32">
        <f>IFERROR(INDEX(tblPriorities[Days to Key Date],MATCH(4,tblPriorities[Upcoming Rank],0)),"")</f>
        <v>21</v>
      </c>
    </row>
    <row r="63" ht="28" customHeight="1">
      <c r="H63" s="26" t="str">
        <f>IFERROR(INDEX(tblPriorities[ID],MATCH(5,tblPriorities[Upcoming Rank],0)),"")</f>
        <v>ADM-04</v>
      </c>
      <c r="I63" s="27" t="str">
        <f>IFERROR(INDEX(tblPriorities[Measure or Matter],MATCH(5,tblPriorities[Upcoming Rank],0))&amp;"","")</f>
        <v>Bridge interlocal agreement cost allocation</v>
      </c>
      <c r="J63" s="28" t="n"/>
      <c r="K63" s="28" t="n"/>
      <c r="L63" s="30">
        <f>IFERROR(IF(INDEX(tblPriorities[Next Key Date],MATCH(5,tblPriorities[Upcoming Rank],0))="","",INDEX(tblPriorities[Next Key Date],MATCH(5,tblPriorities[Upcoming Rank],0))),"")</f>
        <v>46507.0</v>
      </c>
      <c r="M63" s="32">
        <f>IFERROR(INDEX(tblPriorities[Days to Key Date],MATCH(5,tblPriorities[Upcoming Rank],0)),"")</f>
        <v>22</v>
      </c>
    </row>
    <row r="64"/>
    <row r="67" ht="18" customHeight="1">
      <c r="B67" s="3" t="inlineStr">
        <is>
          <t>RISKS (RIGHT: TOP FIVE OPEN RISKS BY EXPOSURE)</t>
        </is>
      </c>
      <c r="C67" s="4" t="n"/>
      <c r="D67" s="4" t="n"/>
      <c r="E67" s="4" t="n"/>
      <c r="F67" s="4" t="n"/>
      <c r="G67" s="4" t="n"/>
      <c r="H67" s="4" t="n"/>
      <c r="I67" s="4" t="n"/>
      <c r="J67" s="4" t="n"/>
      <c r="K67" s="4" t="n"/>
      <c r="L67" s="4" t="n"/>
      <c r="M67" s="4" t="n"/>
    </row>
    <row r="68" ht="28" customHeight="1">
      <c r="B68" s="24" t="inlineStr">
        <is>
          <t>Open risks by rating</t>
        </is>
      </c>
      <c r="C68" s="25" t="n"/>
      <c r="D68" s="24" t="inlineStr">
        <is>
          <t>Count</t>
        </is>
      </c>
      <c r="F68" s="24" t="inlineStr">
        <is>
          <t>ID</t>
        </is>
      </c>
      <c r="G68" s="24" t="inlineStr">
        <is>
          <t>Risk</t>
        </is>
      </c>
      <c r="H68" s="25" t="n"/>
      <c r="I68" s="25" t="n"/>
      <c r="J68" s="25" t="n"/>
      <c r="K68" s="24" t="inlineStr">
        <is>
          <t>Rating</t>
        </is>
      </c>
      <c r="L68" s="24" t="inlineStr">
        <is>
          <t>Owner</t>
        </is>
      </c>
      <c r="M68" s="24" t="inlineStr">
        <is>
          <t>Status</t>
        </is>
      </c>
    </row>
    <row r="69" ht="50" customHeight="1">
      <c r="B69" s="26" t="inlineStr">
        <is>
          <t>High</t>
        </is>
      </c>
      <c r="C69" s="28" t="n"/>
      <c r="D69" s="32">
        <f>COUNTIFS(tblRisks[Rating],$B69,tblRisks[Status],"&lt;&gt;Closed")</f>
        <v>6</v>
      </c>
      <c r="F69" s="26" t="str">
        <f>IFERROR(INDEX(tblRisks[ID],MATCH(1,tblRisks[Risk Rank],0)),"")</f>
        <v>RSK-04</v>
      </c>
      <c r="G69" s="42" t="str">
        <f>IFERROR(INDEX(tblRisks[Risk Statement],MATCH(1,tblRisks[Risk Rank],0))&amp;"","")</f>
        <v>Riverton and the County cannot agree on bridge cost allocation, delaying the agreement and the state match.</v>
      </c>
      <c r="H69" s="28" t="n"/>
      <c r="I69" s="28" t="n"/>
      <c r="J69" s="28" t="n"/>
      <c r="K69" s="29" t="str">
        <f>IFERROR(INDEX(tblRisks[Rating],MATCH(1,tblRisks[Risk Rank],0))&amp;"","")</f>
        <v>High</v>
      </c>
      <c r="L69" s="27" t="str">
        <f>IFERROR(INDEX(tblRisks[Owner],MATCH(1,tblRisks[Risk Rank],0))&amp;"","")</f>
        <v>Alicia Brandt</v>
      </c>
      <c r="M69" s="27" t="str">
        <f>IFERROR(INDEX(tblRisks[Status],MATCH(1,tblRisks[Risk Rank],0))&amp;"","")</f>
        <v>Escalated</v>
      </c>
    </row>
    <row r="70" ht="50" customHeight="1">
      <c r="B70" s="26" t="inlineStr">
        <is>
          <t>Moderate</t>
        </is>
      </c>
      <c r="C70" s="28" t="n"/>
      <c r="D70" s="32">
        <f>COUNTIFS(tblRisks[Rating],$B70,tblRisks[Status],"&lt;&gt;Closed")</f>
        <v>4</v>
      </c>
      <c r="F70" s="26" t="str">
        <f>IFERROR(INDEX(tblRisks[ID],MATCH(2,tblRisks[Risk Rank],0)),"")</f>
        <v>RSK-01</v>
      </c>
      <c r="G70" s="42" t="str">
        <f>IFERROR(INDEX(tblRisks[Risk Statement],MATCH(2,tblRisks[Risk Rank],0))&amp;"","")</f>
        <v>SB 214 dies in the House committee or is amended to cap the rate or exclude bridge capital, leaving the County without a local match source.</v>
      </c>
      <c r="H70" s="28" t="n"/>
      <c r="I70" s="28" t="n"/>
      <c r="J70" s="28" t="n"/>
      <c r="K70" s="29" t="str">
        <f>IFERROR(INDEX(tblRisks[Rating],MATCH(2,tblRisks[Risk Rank],0))&amp;"","")</f>
        <v>High</v>
      </c>
      <c r="L70" s="27" t="str">
        <f>IFERROR(INDEX(tblRisks[Owner],MATCH(2,tblRisks[Risk Rank],0))&amp;"","")</f>
        <v>Jordan Pike</v>
      </c>
      <c r="M70" s="27" t="str">
        <f>IFERROR(INDEX(tblRisks[Status],MATCH(2,tblRisks[Risk Rank],0))&amp;"","")</f>
        <v>Mitigating</v>
      </c>
    </row>
    <row r="71" ht="50" customHeight="1">
      <c r="B71" s="26" t="inlineStr">
        <is>
          <t>Low</t>
        </is>
      </c>
      <c r="C71" s="28" t="n"/>
      <c r="D71" s="32">
        <f>COUNTIFS(tblRisks[Rating],$B71,tblRisks[Status],"&lt;&gt;Closed")</f>
        <v>2</v>
      </c>
      <c r="F71" s="26" t="str">
        <f>IFERROR(INDEX(tblRisks[ID],MATCH(3,tblRisks[Risk Rank],0)),"")</f>
        <v>RSK-02</v>
      </c>
      <c r="G71" s="42" t="str">
        <f>IFERROR(INDEX(tblRisks[Risk Statement],MATCH(3,tblRisks[Risk Rank],0))&amp;"","")</f>
        <v>If enabling authority fails, the County cannot commit its share of the nonfederal match before the application deadline.</v>
      </c>
      <c r="H71" s="28" t="n"/>
      <c r="I71" s="28" t="n"/>
      <c r="J71" s="28" t="n"/>
      <c r="K71" s="29" t="str">
        <f>IFERROR(INDEX(tblRisks[Rating],MATCH(3,tblRisks[Risk Rank],0))&amp;"","")</f>
        <v>High</v>
      </c>
      <c r="L71" s="27" t="str">
        <f>IFERROR(INDEX(tblRisks[Owner],MATCH(3,tblRisks[Risk Rank],0))&amp;"","")</f>
        <v>Lena Park</v>
      </c>
      <c r="M71" s="27" t="str">
        <f>IFERROR(INDEX(tblRisks[Status],MATCH(3,tblRisks[Risk Rank],0))&amp;"","")</f>
        <v>Escalated</v>
      </c>
    </row>
    <row r="72" ht="50" customHeight="1">
      <c r="B72" s="43" t="inlineStr">
        <is>
          <t>Review overdue or none</t>
        </is>
      </c>
      <c r="D72" s="44">
        <f>COUNTIFS(tblRisks[Review Flag],"Review Overdue")+COUNTIFS(tblRisks[Review Flag],"Never Reviewed")</f>
        <v>1</v>
      </c>
      <c r="F72" s="26" t="str">
        <f>IFERROR(INDEX(tblRisks[ID],MATCH(4,tblRisks[Risk Rank],0)),"")</f>
        <v>RSK-03</v>
      </c>
      <c r="G72" s="42" t="str">
        <f>IFERROR(INDEX(tblRisks[Risk Statement],MATCH(4,tblRisks[Risk Rank],0))&amp;"","")</f>
        <v>Harlan County's competing request splits delegation and state support for the same federal round.</v>
      </c>
      <c r="H72" s="28" t="n"/>
      <c r="I72" s="28" t="n"/>
      <c r="J72" s="28" t="n"/>
      <c r="K72" s="29" t="str">
        <f>IFERROR(INDEX(tblRisks[Rating],MATCH(4,tblRisks[Risk Rank],0))&amp;"","")</f>
        <v>High</v>
      </c>
      <c r="L72" s="27" t="str">
        <f>IFERROR(INDEX(tblRisks[Owner],MATCH(4,tblRisks[Risk Rank],0))&amp;"","")</f>
        <v>Alicia Brandt</v>
      </c>
      <c r="M72" s="27" t="str">
        <f>IFERROR(INDEX(tblRisks[Status],MATCH(4,tblRisks[Risk Rank],0))&amp;"","")</f>
        <v>Open</v>
      </c>
    </row>
    <row r="73" ht="50" customHeight="1">
      <c r="B73" s="5" t="inlineStr">
        <is>
          <t>Escalated risks</t>
        </is>
      </c>
      <c r="D73" s="44">
        <f>COUNTIFS(tblRisks[Status],"Escalated")</f>
        <v>4</v>
      </c>
      <c r="F73" s="26" t="str">
        <f>IFERROR(INDEX(tblRisks[ID],MATCH(5,tblRisks[Risk Rank],0)),"")</f>
        <v>RSK-06</v>
      </c>
      <c r="G73" s="42" t="str">
        <f>IFERROR(INDEX(tblRisks[Risk Statement],MATCH(5,tblRisks[Risk Rank],0))&amp;"","")</f>
        <v>HB 388 uniformity language is restored in the Senate or in conference, preempting stricter county standards.</v>
      </c>
      <c r="H73" s="28" t="n"/>
      <c r="I73" s="28" t="n"/>
      <c r="J73" s="28" t="n"/>
      <c r="K73" s="29" t="str">
        <f>IFERROR(INDEX(tblRisks[Rating],MATCH(5,tblRisks[Risk Rank],0))&amp;"","")</f>
        <v>High</v>
      </c>
      <c r="L73" s="27" t="str">
        <f>IFERROR(INDEX(tblRisks[Owner],MATCH(5,tblRisks[Risk Rank],0))&amp;"","")</f>
        <v>Jordan Pike</v>
      </c>
      <c r="M73" s="27" t="str">
        <f>IFERROR(INDEX(tblRisks[Status],MATCH(5,tblRisks[Risk Rank],0))&amp;"","")</f>
        <v>Open</v>
      </c>
    </row>
    <row r="76" ht="18" customHeight="1">
      <c r="B76" s="3" t="inlineStr">
        <is>
          <t>NEXT FIVE OPEN MILESTONES (OVERDUE FIRST)</t>
        </is>
      </c>
      <c r="C76" s="4" t="n"/>
      <c r="D76" s="4" t="n"/>
      <c r="E76" s="4" t="n"/>
      <c r="F76" s="4" t="n"/>
      <c r="G76" s="4" t="n"/>
      <c r="H76" s="4" t="n"/>
      <c r="I76" s="4" t="n"/>
      <c r="J76" s="4" t="n"/>
      <c r="K76" s="4" t="n"/>
      <c r="L76" s="4" t="n"/>
      <c r="M76" s="4" t="n"/>
    </row>
    <row r="77" ht="28" customHeight="1">
      <c r="B77" s="24" t="inlineStr">
        <is>
          <t>ID</t>
        </is>
      </c>
      <c r="C77" s="24" t="inlineStr">
        <is>
          <t>Milestone</t>
        </is>
      </c>
      <c r="D77" s="25" t="n"/>
      <c r="E77" s="25" t="n"/>
      <c r="F77" s="25" t="n"/>
      <c r="G77" s="24" t="inlineStr">
        <is>
          <t>Objective</t>
        </is>
      </c>
      <c r="H77" s="24" t="inlineStr">
        <is>
          <t>Owner</t>
        </is>
      </c>
      <c r="I77" s="25" t="n"/>
      <c r="J77" s="24" t="inlineStr">
        <is>
          <t>Due</t>
        </is>
      </c>
      <c r="K77" s="24" t="inlineStr">
        <is>
          <t>Schedule flag</t>
        </is>
      </c>
      <c r="L77" s="25" t="n"/>
      <c r="M77" s="24" t="inlineStr">
        <is>
          <t>Critical path</t>
        </is>
      </c>
    </row>
    <row r="78" ht="28" customHeight="1">
      <c r="B78" s="26" t="str">
        <f>IFERROR(INDEX(tblMilestones[ID],MATCH(1,tblMilestones[Open Rank],0)),"")</f>
        <v>MS-012</v>
      </c>
      <c r="C78" s="27" t="str">
        <f>IFERROR(INDEX(tblMilestones[Milestone],MATCH(1,tblMilestones[Open Rank],0))&amp;"","")</f>
        <v>House committee vote on SB 214</v>
      </c>
      <c r="D78" s="28" t="n"/>
      <c r="E78" s="28" t="n"/>
      <c r="F78" s="28" t="n"/>
      <c r="G78" s="27" t="str">
        <f>IFERROR(INDEX(tblMilestones[Objective ID],MATCH(1,tblMilestones[Open Rank],0))&amp;"","")</f>
        <v>OBJ-1</v>
      </c>
      <c r="H78" s="27" t="str">
        <f>IFERROR(INDEX(tblMilestones[Owner],MATCH(1,tblMilestones[Open Rank],0))&amp;"","")</f>
        <v>Jordan Pike</v>
      </c>
      <c r="I78" s="28" t="n"/>
      <c r="J78" s="30">
        <f>IFERROR(IF(INDEX(tblMilestones[Effective Due],MATCH(1,tblMilestones[Open Rank],0))="","",INDEX(tblMilestones[Effective Due],MATCH(1,tblMilestones[Open Rank],0))),"")</f>
        <v>46491.0</v>
      </c>
      <c r="K78" s="29" t="str">
        <f>IFERROR(INDEX(tblMilestones[Schedule Flag],MATCH(1,tblMilestones[Open Rank],0))&amp;"","")</f>
        <v>Due Within 14 Days</v>
      </c>
      <c r="L78" s="28" t="n"/>
      <c r="M78" s="27" t="str">
        <f>IFERROR(INDEX(tblMilestones[Critical Path],MATCH(1,tblMilestones[Open Rank],0))&amp;"","")</f>
        <v>Yes</v>
      </c>
    </row>
    <row r="79" ht="28" customHeight="1">
      <c r="B79" s="26" t="str">
        <f>IFERROR(INDEX(tblMilestones[ID],MATCH(2,tblMilestones[Open Rank],0)),"")</f>
        <v>MS-003</v>
      </c>
      <c r="C79" s="27" t="str">
        <f>IFERROR(INDEX(tblMilestones[Milestone],MATCH(2,tblMilestones[Open Rank],0))&amp;"","")</f>
        <v>Q1 report delivered to County Executive and Board</v>
      </c>
      <c r="D79" s="28" t="n"/>
      <c r="E79" s="28" t="n"/>
      <c r="F79" s="28" t="n"/>
      <c r="G79" s="27" t="str">
        <f>IFERROR(INDEX(tblMilestones[Objective ID],MATCH(2,tblMilestones[Open Rank],0))&amp;"","")</f>
        <v>OBJ-6</v>
      </c>
      <c r="H79" s="27" t="str">
        <f>IFERROR(INDEX(tblMilestones[Owner],MATCH(2,tblMilestones[Open Rank],0))&amp;"","")</f>
        <v>Elena Marsh</v>
      </c>
      <c r="I79" s="28" t="n"/>
      <c r="J79" s="30">
        <f>IFERROR(IF(INDEX(tblMilestones[Effective Due],MATCH(2,tblMilestones[Open Rank],0))="","",INDEX(tblMilestones[Effective Due],MATCH(2,tblMilestones[Open Rank],0))),"")</f>
        <v>46492.0</v>
      </c>
      <c r="K79" s="29" t="str">
        <f>IFERROR(INDEX(tblMilestones[Schedule Flag],MATCH(2,tblMilestones[Open Rank],0))&amp;"","")</f>
        <v>Due Within 14 Days</v>
      </c>
      <c r="L79" s="28" t="n"/>
      <c r="M79" s="27" t="str">
        <f>IFERROR(INDEX(tblMilestones[Critical Path],MATCH(2,tblMilestones[Open Rank],0))&amp;"","")</f>
        <v>No</v>
      </c>
    </row>
    <row r="80" ht="28" customHeight="1">
      <c r="B80" s="26" t="str">
        <f>IFERROR(INDEX(tblMilestones[ID],MATCH(3,tblMilestones[Open Rank],0)),"")</f>
        <v>MS-019</v>
      </c>
      <c r="C80" s="27" t="str">
        <f>IFERROR(INDEX(tblMilestones[Milestone],MATCH(3,tblMilestones[Open Rank],0))&amp;"","")</f>
        <v>Opt-out language retained in Senate committee</v>
      </c>
      <c r="D80" s="28" t="n"/>
      <c r="E80" s="28" t="n"/>
      <c r="F80" s="28" t="n"/>
      <c r="G80" s="27" t="str">
        <f>IFERROR(INDEX(tblMilestones[Objective ID],MATCH(3,tblMilestones[Open Rank],0))&amp;"","")</f>
        <v>OBJ-2</v>
      </c>
      <c r="H80" s="27" t="str">
        <f>IFERROR(INDEX(tblMilestones[Owner],MATCH(3,tblMilestones[Open Rank],0))&amp;"","")</f>
        <v>Jordan Pike</v>
      </c>
      <c r="I80" s="28" t="n"/>
      <c r="J80" s="30">
        <f>IFERROR(IF(INDEX(tblMilestones[Effective Due],MATCH(3,tblMilestones[Open Rank],0))="","",INDEX(tblMilestones[Effective Due],MATCH(3,tblMilestones[Open Rank],0))),"")</f>
        <v>46493.0</v>
      </c>
      <c r="K80" s="29" t="str">
        <f>IFERROR(INDEX(tblMilestones[Schedule Flag],MATCH(3,tblMilestones[Open Rank],0))&amp;"","")</f>
        <v>Due Within 14 Days</v>
      </c>
      <c r="L80" s="28" t="n"/>
      <c r="M80" s="27" t="str">
        <f>IFERROR(INDEX(tblMilestones[Critical Path],MATCH(3,tblMilestones[Open Rank],0))&amp;"","")</f>
        <v>Yes</v>
      </c>
    </row>
    <row r="81" ht="28" customHeight="1">
      <c r="B81" s="26" t="str">
        <f>IFERROR(INDEX(tblMilestones[ID],MATCH(4,tblMilestones[Open Rank],0)),"")</f>
        <v>MS-013</v>
      </c>
      <c r="C81" s="27" t="str">
        <f>IFERROR(INDEX(tblMilestones[Milestone],MATCH(4,tblMilestones[Open Rank],0))&amp;"","")</f>
        <v>Final passage before adjournment</v>
      </c>
      <c r="D81" s="28" t="n"/>
      <c r="E81" s="28" t="n"/>
      <c r="F81" s="28" t="n"/>
      <c r="G81" s="27" t="str">
        <f>IFERROR(INDEX(tblMilestones[Objective ID],MATCH(4,tblMilestones[Open Rank],0))&amp;"","")</f>
        <v>OBJ-1</v>
      </c>
      <c r="H81" s="27" t="str">
        <f>IFERROR(INDEX(tblMilestones[Owner],MATCH(4,tblMilestones[Open Rank],0))&amp;"","")</f>
        <v>Jordan Pike</v>
      </c>
      <c r="I81" s="28" t="n"/>
      <c r="J81" s="30">
        <f>IFERROR(IF(INDEX(tblMilestones[Effective Due],MATCH(4,tblMilestones[Open Rank],0))="","",INDEX(tblMilestones[Effective Due],MATCH(4,tblMilestones[Open Rank],0))),"")</f>
        <v>46506.0</v>
      </c>
      <c r="K81" s="29" t="str">
        <f>IFERROR(INDEX(tblMilestones[Schedule Flag],MATCH(4,tblMilestones[Open Rank],0))&amp;"","")</f>
        <v>On Schedule</v>
      </c>
      <c r="L81" s="28" t="n"/>
      <c r="M81" s="27" t="str">
        <f>IFERROR(INDEX(tblMilestones[Critical Path],MATCH(4,tblMilestones[Open Rank],0))&amp;"","")</f>
        <v>Yes</v>
      </c>
    </row>
    <row r="82" ht="28" customHeight="1">
      <c r="B82" s="26" t="str">
        <f>IFERROR(INDEX(tblMilestones[ID],MATCH(5,tblMilestones[Open Rank],0)),"")</f>
        <v>MS-036</v>
      </c>
      <c r="C82" s="27" t="str">
        <f>IFERROR(INDEX(tblMilestones[Milestone],MATCH(5,tblMilestones[Open Rank],0))&amp;"","")</f>
        <v>Comments filed on state stormwater general permit revision</v>
      </c>
      <c r="D82" s="28" t="n"/>
      <c r="E82" s="28" t="n"/>
      <c r="F82" s="28" t="n"/>
      <c r="G82" s="27" t="str">
        <f>IFERROR(INDEX(tblMilestones[Objective ID],MATCH(5,tblMilestones[Open Rank],0))&amp;"","")</f>
        <v>OBJ-2</v>
      </c>
      <c r="H82" s="27" t="str">
        <f>IFERROR(INDEX(tblMilestones[Owner],MATCH(5,tblMilestones[Open Rank],0))&amp;"","")</f>
        <v>Jordan Pike</v>
      </c>
      <c r="I82" s="28" t="n"/>
      <c r="J82" s="30">
        <f>IFERROR(IF(INDEX(tblMilestones[Effective Due],MATCH(5,tblMilestones[Open Rank],0))="","",INDEX(tblMilestones[Effective Due],MATCH(5,tblMilestones[Open Rank],0))),"")</f>
        <v>46514.0</v>
      </c>
      <c r="K82" s="29" t="str">
        <f>IFERROR(INDEX(tblMilestones[Schedule Flag],MATCH(5,tblMilestones[Open Rank],0))&amp;"","")</f>
        <v>On Schedule</v>
      </c>
      <c r="L82" s="28" t="n"/>
      <c r="M82" s="27" t="str">
        <f>IFERROR(INDEX(tblMilestones[Critical Path],MATCH(5,tblMilestones[Open Rank],0))&amp;"","")</f>
        <v>No</v>
      </c>
    </row>
    <row r="85" ht="18" customHeight="1">
      <c r="B85" s="3" t="inlineStr">
        <is>
          <t>ENGAGEMENT ACTIONS BY QUARTER</t>
        </is>
      </c>
      <c r="C85" s="4" t="n"/>
      <c r="D85" s="4" t="n"/>
      <c r="E85" s="4" t="n"/>
      <c r="F85" s="4" t="n"/>
      <c r="G85" s="4" t="n"/>
      <c r="I85" s="3" t="inlineStr">
        <is>
          <t>ESCALATIONS</t>
        </is>
      </c>
      <c r="J85" s="4" t="n"/>
      <c r="K85" s="4" t="n"/>
      <c r="L85" s="4" t="n"/>
      <c r="M85" s="4" t="n"/>
    </row>
    <row r="86" ht="30" customHeight="1">
      <c r="B86" s="24" t="inlineStr">
        <is>
          <t>Quarter</t>
        </is>
      </c>
      <c r="C86" s="24" t="inlineStr">
        <is>
          <t>Complete</t>
        </is>
      </c>
      <c r="D86" s="24" t="inlineStr">
        <is>
          <t>Planned or in progress</t>
        </is>
      </c>
      <c r="E86" s="24" t="inlineStr">
        <is>
          <t>Overdue</t>
        </is>
      </c>
      <c r="F86" s="24" t="inlineStr">
        <is>
          <t>Deferred or cancelled</t>
        </is>
      </c>
      <c r="I86" s="24" t="inlineStr">
        <is>
          <t>Response status</t>
        </is>
      </c>
      <c r="J86" s="25" t="n"/>
      <c r="K86" s="25" t="n"/>
      <c r="L86" s="24" t="inlineStr">
        <is>
          <t>Count</t>
        </is>
      </c>
    </row>
    <row r="87">
      <c r="B87" s="34" t="inlineStr">
        <is>
          <t>Q1</t>
        </is>
      </c>
      <c r="C87" s="35">
        <f>COUNTIFS(tblActions[Quarter],$B87,tblActions[Status],"Complete")</f>
        <v>27</v>
      </c>
      <c r="D87" s="35">
        <f>COUNTIFS(tblActions[Quarter],$B87,tblActions[Status],"Planned")+COUNTIFS(tblActions[Quarter],$B87,tblActions[Status],"In Progress")-E87</f>
        <v>0</v>
      </c>
      <c r="E87" s="35">
        <f>COUNTIFS(tblActions[Quarter],$B87,tblActions[Timing Flag],"Overdue")</f>
        <v>1</v>
      </c>
      <c r="F87" s="35">
        <f>COUNTIFS(tblActions[Quarter],$B87,tblActions[Status],"Deferred")+COUNTIFS(tblActions[Quarter],$B87,tblActions[Status],"Cancelled")</f>
        <v>1</v>
      </c>
      <c r="I87" s="34" t="inlineStr">
        <is>
          <t>Open</t>
        </is>
      </c>
      <c r="J87" s="28" t="n"/>
      <c r="K87" s="28" t="n"/>
      <c r="L87" s="35">
        <f>COUNTIFS(tblEscalations[Response Status],$I87)</f>
        <v>2</v>
      </c>
    </row>
    <row r="88">
      <c r="B88" s="34" t="inlineStr">
        <is>
          <t>Q2</t>
        </is>
      </c>
      <c r="C88" s="35">
        <f>COUNTIFS(tblActions[Quarter],$B88,tblActions[Status],"Complete")</f>
        <v>4</v>
      </c>
      <c r="D88" s="35">
        <f>COUNTIFS(tblActions[Quarter],$B88,tblActions[Status],"Planned")+COUNTIFS(tblActions[Quarter],$B88,tblActions[Status],"In Progress")-E88</f>
        <v>14</v>
      </c>
      <c r="E88" s="35">
        <f>COUNTIFS(tblActions[Quarter],$B88,tblActions[Timing Flag],"Overdue")</f>
        <v>2</v>
      </c>
      <c r="F88" s="35">
        <f>COUNTIFS(tblActions[Quarter],$B88,tblActions[Status],"Deferred")+COUNTIFS(tblActions[Quarter],$B88,tblActions[Status],"Cancelled")</f>
        <v>0</v>
      </c>
      <c r="I88" s="34" t="inlineStr">
        <is>
          <t>Past Due</t>
        </is>
      </c>
      <c r="J88" s="28" t="n"/>
      <c r="K88" s="28" t="n"/>
      <c r="L88" s="35">
        <f>COUNTIFS(tblEscalations[Response Status],$I88)</f>
        <v>1</v>
      </c>
    </row>
    <row r="89">
      <c r="B89" s="34" t="inlineStr">
        <is>
          <t>Q3</t>
        </is>
      </c>
      <c r="C89" s="35">
        <f>COUNTIFS(tblActions[Quarter],$B89,tblActions[Status],"Complete")</f>
        <v>0</v>
      </c>
      <c r="D89" s="35">
        <f>COUNTIFS(tblActions[Quarter],$B89,tblActions[Status],"Planned")+COUNTIFS(tblActions[Quarter],$B89,tblActions[Status],"In Progress")-E89</f>
        <v>0</v>
      </c>
      <c r="E89" s="35">
        <f>COUNTIFS(tblActions[Quarter],$B89,tblActions[Timing Flag],"Overdue")</f>
        <v>0</v>
      </c>
      <c r="F89" s="35">
        <f>COUNTIFS(tblActions[Quarter],$B89,tblActions[Status],"Deferred")+COUNTIFS(tblActions[Quarter],$B89,tblActions[Status],"Cancelled")</f>
        <v>0</v>
      </c>
      <c r="I89" s="34" t="inlineStr">
        <is>
          <t>Resolved</t>
        </is>
      </c>
      <c r="J89" s="28" t="n"/>
      <c r="K89" s="28" t="n"/>
      <c r="L89" s="35">
        <f>COUNTIFS(tblEscalations[Response Status],$I89)</f>
        <v>2</v>
      </c>
    </row>
    <row r="90">
      <c r="B90" s="34" t="inlineStr">
        <is>
          <t>Q4</t>
        </is>
      </c>
      <c r="C90" s="35">
        <f>COUNTIFS(tblActions[Quarter],$B90,tblActions[Status],"Complete")</f>
        <v>0</v>
      </c>
      <c r="D90" s="35">
        <f>COUNTIFS(tblActions[Quarter],$B90,tblActions[Status],"Planned")+COUNTIFS(tblActions[Quarter],$B90,tblActions[Status],"In Progress")-E90</f>
        <v>0</v>
      </c>
      <c r="E90" s="35">
        <f>COUNTIFS(tblActions[Quarter],$B90,tblActions[Timing Flag],"Overdue")</f>
        <v>0</v>
      </c>
      <c r="F90" s="35">
        <f>COUNTIFS(tblActions[Quarter],$B90,tblActions[Status],"Deferred")+COUNTIFS(tblActions[Quarter],$B90,tblActions[Status],"Cancelled")</f>
        <v>0</v>
      </c>
      <c r="I90" s="5" t="inlineStr">
        <is>
          <t>Average days to resolve</t>
        </is>
      </c>
      <c r="L90" s="44">
        <f>IFERROR(ROUND(SUMPRODUCT((tblEscalations[Response Status]="Resolved")*(tblEscalations[Date Resolved]-tblEscalations[Date Raised]))/COUNTIFS(tblEscalations[Response Status],"Resolved"),1),"")</f>
        <v>8</v>
      </c>
    </row>
    <row r="91">
      <c r="B91" s="36" t="inlineStr">
        <is>
          <t>Total</t>
        </is>
      </c>
      <c r="C91" s="37">
        <f>SUM(C87:C90)</f>
        <v>31</v>
      </c>
      <c r="D91" s="37">
        <f>SUM(D87:D90)</f>
        <v>14</v>
      </c>
      <c r="E91" s="37">
        <f>SUM(E87:E90)</f>
        <v>3</v>
      </c>
      <c r="F91" s="37">
        <f>SUM(F87:F90)</f>
        <v>1</v>
      </c>
    </row>
    <row r="92">
      <c r="B92" s="33" t="inlineStr">
        <is>
          <t>Overdue means Planned or In Progress with a date before the report date.</t>
        </is>
      </c>
    </row>
    <row r="95" ht="18" customHeight="1">
      <c r="B95" s="3" t="inlineStr">
        <is>
          <t>DATA CHECKS</t>
        </is>
      </c>
      <c r="C95" s="4" t="n"/>
      <c r="D95" s="4" t="n"/>
      <c r="E95" s="4" t="n"/>
      <c r="F95" s="4" t="n"/>
      <c r="G95" s="4" t="n"/>
      <c r="H95" s="4" t="n"/>
      <c r="I95" s="4" t="n"/>
      <c r="J95" s="4" t="n"/>
      <c r="K95" s="4" t="n"/>
      <c r="L95" s="4" t="n"/>
      <c r="M95" s="4" t="n"/>
    </row>
    <row r="96">
      <c r="B96" s="24" t="inlineStr">
        <is>
          <t>Check</t>
        </is>
      </c>
      <c r="C96" s="25" t="n"/>
      <c r="D96" s="25" t="n"/>
      <c r="E96" s="25" t="n"/>
      <c r="F96" s="25" t="n"/>
      <c r="G96" s="25" t="n"/>
      <c r="H96" s="25" t="n"/>
      <c r="I96" s="24" t="inlineStr">
        <is>
          <t>Count</t>
        </is>
      </c>
      <c r="J96" s="24" t="inlineStr">
        <is>
          <t>Result</t>
        </is>
      </c>
    </row>
    <row r="97">
      <c r="B97" s="45" t="inlineStr">
        <is>
          <t>Objectives with no milestones</t>
        </is>
      </c>
      <c r="C97" s="28" t="n"/>
      <c r="D97" s="28" t="n"/>
      <c r="E97" s="28" t="n"/>
      <c r="F97" s="28" t="n"/>
      <c r="G97" s="28" t="n"/>
      <c r="H97" s="28" t="n"/>
      <c r="I97" s="35">
        <f>SUMPRODUCT((tblObjectives[ID]&lt;&gt;"")*(tblObjectives[Milestones]=0))</f>
        <v>0</v>
      </c>
      <c r="J97" s="34" t="str">
        <f>IF(I97=0,"OK","Review")</f>
        <v>OK</v>
      </c>
    </row>
    <row r="98">
      <c r="B98" s="45" t="inlineStr">
        <is>
          <t>Objectives with no lead</t>
        </is>
      </c>
      <c r="C98" s="28" t="n"/>
      <c r="D98" s="28" t="n"/>
      <c r="E98" s="28" t="n"/>
      <c r="F98" s="28" t="n"/>
      <c r="G98" s="28" t="n"/>
      <c r="H98" s="28" t="n"/>
      <c r="I98" s="35">
        <f>SUMPRODUCT((tblObjectives[ID]&lt;&gt;"")*(tblObjectives[Lead]=""))</f>
        <v>0</v>
      </c>
      <c r="J98" s="34" t="str">
        <f>IF(I98=0,"OK","Review")</f>
        <v>OK</v>
      </c>
    </row>
    <row r="99">
      <c r="B99" s="45" t="inlineStr">
        <is>
          <t>Open milestones with no owner or no due date</t>
        </is>
      </c>
      <c r="C99" s="28" t="n"/>
      <c r="D99" s="28" t="n"/>
      <c r="E99" s="28" t="n"/>
      <c r="F99" s="28" t="n"/>
      <c r="G99" s="28" t="n"/>
      <c r="H99" s="28" t="n"/>
      <c r="I99" s="35">
        <f>SUMPRODUCT((tblMilestones[ID]&lt;&gt;"")*(tblMilestones[Status]&lt;&gt;"Complete")*(((tblMilestones[Owner]="")+(tblMilestones[Due Date]=""))&gt;0))</f>
        <v>0</v>
      </c>
      <c r="J99" s="34" t="str">
        <f>IF(I99=0,"OK","Review")</f>
        <v>OK</v>
      </c>
    </row>
    <row r="100">
      <c r="B100" s="45" t="inlineStr">
        <is>
          <t>Open high risks with no mitigation entered</t>
        </is>
      </c>
      <c r="C100" s="28" t="n"/>
      <c r="D100" s="28" t="n"/>
      <c r="E100" s="28" t="n"/>
      <c r="F100" s="28" t="n"/>
      <c r="G100" s="28" t="n"/>
      <c r="H100" s="28" t="n"/>
      <c r="I100" s="35">
        <f>SUMPRODUCT((tblRisks[Rating]="High")*(tblRisks[Status]&lt;&gt;"Closed")*(tblRisks[Mitigation or Contingency]=""))</f>
        <v>0</v>
      </c>
      <c r="J100" s="34" t="str">
        <f>IF(I100=0,"OK","Review")</f>
        <v>OK</v>
      </c>
    </row>
    <row r="101">
      <c r="B101" s="45" t="inlineStr">
        <is>
          <t>Tier 1 and 2 relationships with no contact logged</t>
        </is>
      </c>
      <c r="C101" s="28" t="n"/>
      <c r="D101" s="28" t="n"/>
      <c r="E101" s="28" t="n"/>
      <c r="F101" s="28" t="n"/>
      <c r="G101" s="28" t="n"/>
      <c r="H101" s="28" t="n"/>
      <c r="I101" s="35">
        <f>COUNTIFS(tblRelationships[Tier],"Tier 1*",tblRelationships[Contact Status],"No Contact Logged")+COUNTIFS(tblRelationships[Tier],"Tier 2*",tblRelationships[Contact Status],"No Contact Logged")</f>
        <v>2</v>
      </c>
      <c r="J101" s="34" t="str">
        <f>IF(I101=0,"OK","Review")</f>
        <v>Review</v>
      </c>
    </row>
    <row r="102">
      <c r="B102" s="45" t="inlineStr">
        <is>
          <t>Objective status differs from the latest quarterly review</t>
        </is>
      </c>
      <c r="C102" s="28" t="n"/>
      <c r="D102" s="28" t="n"/>
      <c r="E102" s="28" t="n"/>
      <c r="F102" s="28" t="n"/>
      <c r="G102" s="28" t="n"/>
      <c r="H102" s="28" t="n"/>
      <c r="I102" s="35">
        <f>SUMPRODUCT((tblObjectives[ID]&lt;&gt;"")*(tblObjectives[Latest Review Status]&lt;&gt;"")*(tblObjectives[Latest Review Status]&lt;&gt;tblObjectives[Status]))</f>
        <v>0</v>
      </c>
      <c r="J102" s="34" t="str">
        <f>IF(I102=0,"OK","Review")</f>
        <v>OK</v>
      </c>
    </row>
    <row r="103">
      <c r="B103" s="45" t="inlineStr">
        <is>
          <t>Milestones that depend on an unfinished milestone already overdue</t>
        </is>
      </c>
      <c r="C103" s="28" t="n"/>
      <c r="D103" s="28" t="n"/>
      <c r="E103" s="28" t="n"/>
      <c r="F103" s="28" t="n"/>
      <c r="G103" s="28" t="n"/>
      <c r="H103" s="28" t="n"/>
      <c r="I103" s="35">
        <f>SUMPRODUCT((tblMilestones[ID]&lt;&gt;"")*(tblMilestones[Status]&lt;&gt;"Complete")*(tblMilestones[Depends On]&lt;&gt;"")*((tblMilestones[Dependency Status]="Delayed")+(tblMilestones[Dependency Status]="Blocked"))&gt;0)</f>
        <v>1</v>
      </c>
      <c r="J103" s="34" t="str">
        <f>IF(I103=0,"OK","Review")</f>
        <v>Review</v>
      </c>
    </row>
    <row r="104">
      <c r="B104" s="45" t="inlineStr">
        <is>
          <t>Records sharing an ID with another record on the same sheet</t>
        </is>
      </c>
      <c r="C104" s="28" t="n"/>
      <c r="D104" s="28" t="n"/>
      <c r="E104" s="28" t="n"/>
      <c r="F104" s="28" t="n"/>
      <c r="G104" s="28" t="n"/>
      <c r="H104" s="28" t="n"/>
      <c r="I104" s="35">
        <f>SUMPRODUCT((tblObjectives[ID]&lt;&gt;"")*(COUNTIF(tblObjectives[ID],tblObjectives[ID])&gt;1))+SUMPRODUCT((tblRelationships[ID]&lt;&gt;"")*(COUNTIF(tblRelationships[ID],tblRelationships[ID])&gt;1))+SUMPRODUCT((tblPriorities[ID]&lt;&gt;"")*(COUNTIF(tblPriorities[ID],tblPriorities[ID])&gt;1))+SUMPRODUCT((tblActions[ID]&lt;&gt;"")*(COUNTIF(tblActions[ID],tblActions[ID])&gt;1))+SUMPRODUCT((tblMilestones[ID]&lt;&gt;"")*(COUNTIF(tblMilestones[ID],tblMilestones[ID])&gt;1))+SUMPRODUCT((tblRisks[ID]&lt;&gt;"")*(COUNTIF(tblRisks[ID],tblRisks[ID])&gt;1))+SUMPRODUCT((tblEscalations[ID]&lt;&gt;"")*(COUNTIF(tblEscalations[ID],tblEscalations[ID])&gt;1))</f>
        <v>0</v>
      </c>
      <c r="J104" s="34" t="str">
        <f>IF(I104=0,"OK","Review")</f>
        <v>OK</v>
      </c>
    </row>
    <row r="105">
      <c r="B105" s="45" t="inlineStr">
        <is>
          <t>Records pointing to an objective ID that does not exist</t>
        </is>
      </c>
      <c r="C105" s="28" t="n"/>
      <c r="D105" s="28" t="n"/>
      <c r="E105" s="28" t="n"/>
      <c r="F105" s="28" t="n"/>
      <c r="G105" s="28" t="n"/>
      <c r="H105" s="28" t="n"/>
      <c r="I105" s="35">
        <f>SUMPRODUCT((tblRelationships[Objective ID]&lt;&gt;"")*(COUNTIF(tblObjectives[ID],tblRelationships[Objective ID])=0))+SUMPRODUCT((tblPriorities[Objective ID]&lt;&gt;"")*(COUNTIF(tblObjectives[ID],tblPriorities[Objective ID])=0))+SUMPRODUCT((tblActions[Objective ID]&lt;&gt;"")*(COUNTIF(tblObjectives[ID],tblActions[Objective ID])=0))+SUMPRODUCT((tblMilestones[Objective ID]&lt;&gt;"")*(COUNTIF(tblObjectives[ID],tblMilestones[Objective ID])=0))+SUMPRODUCT((tblRisks[Objective ID]&lt;&gt;"")*(COUNTIF(tblObjectives[ID],tblRisks[Objective ID])=0))+SUMPRODUCT((tblEscalations[Objective ID]&lt;&gt;"")*(COUNTIF(tblObjectives[ID],tblEscalations[Objective ID])=0))+SUMPRODUCT((tblQuarterly[Objective ID]&lt;&gt;"")*(COUNTIF(tblObjectives[ID],tblQuarterly[Objective ID])=0))</f>
        <v>0</v>
      </c>
      <c r="J105" s="34" t="str">
        <f>IF(I105=0,"OK","Review")</f>
        <v>OK</v>
      </c>
    </row>
    <row r="106">
      <c r="B106" s="45" t="inlineStr">
        <is>
          <t>Other cross-references to a record that does not exist</t>
        </is>
      </c>
      <c r="C106" s="28" t="n"/>
      <c r="D106" s="28" t="n"/>
      <c r="E106" s="28" t="n"/>
      <c r="F106" s="28" t="n"/>
      <c r="G106" s="28" t="n"/>
      <c r="H106" s="28" t="n"/>
      <c r="I106" s="35">
        <f>SUMPRODUCT((tblActions[Relationship ID]&lt;&gt;"")*(COUNTIF(tblRelationships[ID],tblActions[Relationship ID])=0))+SUMPRODUCT((tblActions[Priority ID]&lt;&gt;"")*(COUNTIF(tblPriorities[ID],tblActions[Priority ID])=0))+SUMPRODUCT((tblMilestones[Depends On]&lt;&gt;"")*(COUNTIF(tblMilestones[ID],tblMilestones[Depends On])=0))+SUMPRODUCT((tblEscalations[Risk ID]&lt;&gt;"")*(COUNTIF(tblRisks[ID],tblEscalations[Risk ID])=0))</f>
        <v>0</v>
      </c>
      <c r="J106" s="34" t="str">
        <f>IF(I106=0,"OK","Review")</f>
        <v>OK</v>
      </c>
    </row>
    <row r="107">
      <c r="B107" s="45" t="inlineStr">
        <is>
          <t>Priority IDs that do not match the Track (LEG or ADM)</t>
        </is>
      </c>
      <c r="C107" s="28" t="n"/>
      <c r="D107" s="28" t="n"/>
      <c r="E107" s="28" t="n"/>
      <c r="F107" s="28" t="n"/>
      <c r="G107" s="28" t="n"/>
      <c r="H107" s="28" t="n"/>
      <c r="I107" s="35">
        <f>SUMPRODUCT((tblPriorities[Track]="Legislative")*(LEFT(tblPriorities[ID],3)&lt;&gt;"LEG"))+SUMPRODUCT((tblPriorities[Track]="Administrative")*(LEFT(tblPriorities[ID],3)&lt;&gt;"ADM"))</f>
        <v>0</v>
      </c>
      <c r="J107" s="34" t="str">
        <f>IF(I107=0,"OK","Review")</f>
        <v>OK</v>
      </c>
    </row>
    <row r="108">
      <c r="B108" s="45" t="inlineStr">
        <is>
          <t>Open risks, open actions, and escalations with no owner</t>
        </is>
      </c>
      <c r="C108" s="28" t="n"/>
      <c r="D108" s="28" t="n"/>
      <c r="E108" s="28" t="n"/>
      <c r="F108" s="28" t="n"/>
      <c r="G108" s="28" t="n"/>
      <c r="H108" s="28" t="n"/>
      <c r="I108" s="35">
        <f>SUMPRODUCT((tblRisks[ID]&lt;&gt;"")*(tblRisks[Status]&lt;&gt;"Closed")*(tblRisks[Owner]=""))+SUMPRODUCT((tblActions[ID]&lt;&gt;"")*((tblActions[Status]="Planned")+(tblActions[Status]="In Progress"))*(tblActions[Owner]=""))+SUMPRODUCT((tblEscalations[ID]&lt;&gt;"")*(tblEscalations[Raised By]=""))</f>
        <v>0</v>
      </c>
      <c r="J108" s="34" t="str">
        <f>IF(I108=0,"OK","Review")</f>
        <v>OK</v>
      </c>
    </row>
    <row r="109">
      <c r="B109" s="45" t="inlineStr">
        <is>
          <t>Dates that do not make sense (text, completed before raised, completed but not marked Complete)</t>
        </is>
      </c>
      <c r="C109" s="28" t="n"/>
      <c r="D109" s="28" t="n"/>
      <c r="E109" s="28" t="n"/>
      <c r="F109" s="28" t="n"/>
      <c r="G109" s="28" t="n"/>
      <c r="H109" s="28" t="n"/>
      <c r="I109" s="35">
        <f>SUMPRODUCT((tblEscalations[Date Resolved]&lt;&gt;"")*(tblEscalations[Date Raised]&lt;&gt;"")*(tblEscalations[Date Resolved]&lt;tblEscalations[Date Raised]))+SUMPRODUCT((tblMilestones[Completed Date]&lt;&gt;"")*(tblMilestones[Status]&lt;&gt;"Complete"))+SUMPRODUCT((tblMilestones[Status]="Complete")*(tblMilestones[Completed Date]=""))+SUMPRODUCT((tblObjectives[Start Date]&lt;&gt;"")*(tblObjectives[Target Date]&lt;&gt;"")*(tblObjectives[Target Date]&lt;tblObjectives[Start Date]))+SUMPRODUCT(--ISTEXT(tblObjectives[Start Date]))+SUMPRODUCT(--ISTEXT(tblObjectives[Target Date]))+SUMPRODUCT(--ISTEXT(tblPriorities[Next Key Date]))+SUMPRODUCT(--ISTEXT(tblActions[Date]))+SUMPRODUCT(--ISTEXT(tblMilestones[Due Date]))+SUMPRODUCT(--ISTEXT(tblMilestones[Revised Due Date]))+SUMPRODUCT(--ISTEXT(tblMilestones[Completed Date]))+SUMPRODUCT(--ISTEXT(tblRisks[Date Identified]))+SUMPRODUCT(--ISTEXT(tblRisks[Last Reviewed]))+SUMPRODUCT(--ISTEXT(tblEscalations[Date Raised]))+SUMPRODUCT(--ISTEXT(tblEscalations[Response Due]))+SUMPRODUCT(--ISTEXT(tblEscalations[Date Resolved]))+SUMPRODUCT(--ISTEXT(tblQuarterly[Review Date]))</f>
        <v>0</v>
      </c>
      <c r="J109" s="34" t="str">
        <f>IF(I109=0,"OK","Review")</f>
        <v>OK</v>
      </c>
    </row>
  </sheetData>
  <mergeCells count="107">
    <mergeCell ref="H82:I82"/>
    <mergeCell ref="I87:K87"/>
    <mergeCell ref="C81:F81"/>
    <mergeCell ref="B104:H104"/>
    <mergeCell ref="I26:J26"/>
    <mergeCell ref="C13:F13"/>
    <mergeCell ref="D6:E6"/>
    <mergeCell ref="C78:F78"/>
    <mergeCell ref="B97:H97"/>
    <mergeCell ref="G72:J72"/>
    <mergeCell ref="I25:J25"/>
    <mergeCell ref="K81:L81"/>
    <mergeCell ref="B106:H106"/>
    <mergeCell ref="B61:C61"/>
    <mergeCell ref="C15:F15"/>
    <mergeCell ref="L5:M5"/>
    <mergeCell ref="I88:K88"/>
    <mergeCell ref="G71:J71"/>
    <mergeCell ref="H79:I79"/>
    <mergeCell ref="B69:C69"/>
    <mergeCell ref="I63:K63"/>
    <mergeCell ref="D7:E7"/>
    <mergeCell ref="C79:F79"/>
    <mergeCell ref="I59:K59"/>
    <mergeCell ref="H81:I81"/>
    <mergeCell ref="C10:F10"/>
    <mergeCell ref="B49:C49"/>
    <mergeCell ref="B51:C51"/>
    <mergeCell ref="G68:J68"/>
    <mergeCell ref="B103:H103"/>
    <mergeCell ref="B108:H108"/>
    <mergeCell ref="K78:L78"/>
    <mergeCell ref="I30:J30"/>
    <mergeCell ref="C17:F17"/>
    <mergeCell ref="L7:M7"/>
    <mergeCell ref="K80:L80"/>
    <mergeCell ref="F6:G6"/>
    <mergeCell ref="C19:F19"/>
    <mergeCell ref="K79:L79"/>
    <mergeCell ref="I62:K62"/>
    <mergeCell ref="F5:G5"/>
    <mergeCell ref="J49:K49"/>
    <mergeCell ref="B53:C53"/>
    <mergeCell ref="C14:F14"/>
    <mergeCell ref="G70:J70"/>
    <mergeCell ref="B96:H96"/>
    <mergeCell ref="I24:J24"/>
    <mergeCell ref="B105:H105"/>
    <mergeCell ref="H80:I80"/>
    <mergeCell ref="B98:H98"/>
    <mergeCell ref="I90:K90"/>
    <mergeCell ref="B107:H107"/>
    <mergeCell ref="B6:C6"/>
    <mergeCell ref="K82:L82"/>
    <mergeCell ref="L6:M6"/>
    <mergeCell ref="J51:K51"/>
    <mergeCell ref="H5:I5"/>
    <mergeCell ref="J48:K48"/>
    <mergeCell ref="B99:H99"/>
    <mergeCell ref="B7:C7"/>
    <mergeCell ref="B72:C72"/>
    <mergeCell ref="C82:F82"/>
    <mergeCell ref="B71:C71"/>
    <mergeCell ref="F7:G7"/>
    <mergeCell ref="B58:C58"/>
    <mergeCell ref="B62:F64"/>
    <mergeCell ref="C18:F18"/>
    <mergeCell ref="B52:C52"/>
    <mergeCell ref="C77:F77"/>
    <mergeCell ref="B109:H109"/>
    <mergeCell ref="B60:C60"/>
    <mergeCell ref="C20:F20"/>
    <mergeCell ref="I86:K86"/>
    <mergeCell ref="C80:F80"/>
    <mergeCell ref="H77:I77"/>
    <mergeCell ref="J50:K50"/>
    <mergeCell ref="I89:K89"/>
    <mergeCell ref="B5:C5"/>
    <mergeCell ref="C12:F12"/>
    <mergeCell ref="D5:E5"/>
    <mergeCell ref="J52:K52"/>
    <mergeCell ref="J5:K5"/>
    <mergeCell ref="B59:C59"/>
    <mergeCell ref="G73:J73"/>
    <mergeCell ref="H78:I78"/>
    <mergeCell ref="I27:J27"/>
    <mergeCell ref="I58:K58"/>
    <mergeCell ref="B70:C70"/>
    <mergeCell ref="B48:C48"/>
    <mergeCell ref="H6:I6"/>
    <mergeCell ref="J6:K6"/>
    <mergeCell ref="B100:H100"/>
    <mergeCell ref="I28:J28"/>
    <mergeCell ref="B73:C73"/>
    <mergeCell ref="K77:L77"/>
    <mergeCell ref="B102:H102"/>
    <mergeCell ref="H7:I7"/>
    <mergeCell ref="I60:K60"/>
    <mergeCell ref="J7:K7"/>
    <mergeCell ref="C16:F16"/>
    <mergeCell ref="B101:H101"/>
    <mergeCell ref="I29:J29"/>
    <mergeCell ref="B68:C68"/>
    <mergeCell ref="G69:J69"/>
    <mergeCell ref="I61:K61"/>
    <mergeCell ref="B50:C50"/>
    <mergeCell ref="C11:F11"/>
  </mergeCells>
  <conditionalFormatting sqref="B6">
    <cfRule type="cellIs" priority="1" operator="greaterThan" dxfId="0">
      <formula>0</formula>
    </cfRule>
  </conditionalFormatting>
  <conditionalFormatting sqref="D6">
    <cfRule type="cellIs" priority="2" operator="greaterThan" dxfId="0">
      <formula>0</formula>
    </cfRule>
  </conditionalFormatting>
  <conditionalFormatting sqref="F6">
    <cfRule type="cellIs" priority="3" operator="greaterThan" dxfId="0">
      <formula>0</formula>
    </cfRule>
  </conditionalFormatting>
  <conditionalFormatting sqref="H6">
    <cfRule type="cellIs" priority="4" operator="greaterThan" dxfId="0">
      <formula>0</formula>
    </cfRule>
  </conditionalFormatting>
  <conditionalFormatting sqref="J6">
    <cfRule type="cellIs" priority="5" operator="greaterThan" dxfId="0">
      <formula>0</formula>
    </cfRule>
  </conditionalFormatting>
  <conditionalFormatting sqref="L6">
    <cfRule type="cellIs" priority="6" operator="greaterThan" dxfId="0">
      <formula>0</formula>
    </cfRule>
  </conditionalFormatting>
  <conditionalFormatting sqref="H11:H20">
    <cfRule type="cellIs" priority="7" operator="equal" dxfId="1">
      <formula>"On Track"</formula>
    </cfRule>
    <cfRule type="cellIs" priority="8" operator="equal" dxfId="2">
      <formula>"Complete"</formula>
    </cfRule>
    <cfRule type="cellIs" priority="9" operator="equal" dxfId="3">
      <formula>"At Risk"</formula>
    </cfRule>
    <cfRule type="cellIs" priority="10" operator="equal" dxfId="4">
      <formula>"Off Track"</formula>
    </cfRule>
    <cfRule type="cellIs" priority="11" operator="equal" dxfId="5">
      <formula>"Not Started"</formula>
    </cfRule>
    <cfRule type="cellIs" priority="12" operator="equal" dxfId="6">
      <formula>"Deferred"</formula>
    </cfRule>
  </conditionalFormatting>
  <conditionalFormatting sqref="L11:L20">
    <cfRule type="cellIs" priority="13" operator="greaterThan" dxfId="4">
      <formula>0</formula>
    </cfRule>
  </conditionalFormatting>
  <conditionalFormatting sqref="M11:M20">
    <cfRule type="cellIs" priority="14" operator="greaterThan" dxfId="3">
      <formula>0</formula>
    </cfRule>
  </conditionalFormatting>
  <conditionalFormatting sqref="F25:F29">
    <cfRule type="cellIs" priority="15" operator="greaterThan" dxfId="7">
      <formula>0</formula>
    </cfRule>
  </conditionalFormatting>
  <conditionalFormatting sqref="I25:J30">
    <cfRule type="cellIs" priority="16" operator="equal" dxfId="1">
      <formula>"On Track"</formula>
    </cfRule>
    <cfRule type="cellIs" priority="17" operator="equal" dxfId="2">
      <formula>"Complete"</formula>
    </cfRule>
    <cfRule type="cellIs" priority="18" operator="equal" dxfId="3">
      <formula>"At Risk"</formula>
    </cfRule>
    <cfRule type="cellIs" priority="19" operator="equal" dxfId="4">
      <formula>"Off Track"</formula>
    </cfRule>
    <cfRule type="cellIs" priority="20" operator="equal" dxfId="5">
      <formula>"Not Started"</formula>
    </cfRule>
    <cfRule type="cellIs" priority="21" operator="equal" dxfId="6">
      <formula>"Deferred"</formula>
    </cfRule>
  </conditionalFormatting>
  <conditionalFormatting sqref="F49:G52">
    <cfRule type="cellIs" priority="22" operator="greaterThan" dxfId="7">
      <formula>0</formula>
    </cfRule>
  </conditionalFormatting>
  <conditionalFormatting sqref="B69:C71">
    <cfRule type="cellIs" priority="23" operator="equal" dxfId="4">
      <formula>"High"</formula>
    </cfRule>
    <cfRule type="cellIs" priority="24" operator="equal" dxfId="3">
      <formula>"Moderate"</formula>
    </cfRule>
    <cfRule type="cellIs" priority="25" operator="equal" dxfId="1">
      <formula>"Low"</formula>
    </cfRule>
  </conditionalFormatting>
  <conditionalFormatting sqref="K69:K73">
    <cfRule type="cellIs" priority="26" operator="equal" dxfId="4">
      <formula>"High"</formula>
    </cfRule>
    <cfRule type="cellIs" priority="27" operator="equal" dxfId="3">
      <formula>"Moderate"</formula>
    </cfRule>
    <cfRule type="cellIs" priority="28" operator="equal" dxfId="1">
      <formula>"Low"</formula>
    </cfRule>
  </conditionalFormatting>
  <conditionalFormatting sqref="K78:L82">
    <cfRule type="cellIs" priority="29" operator="equal" dxfId="4">
      <formula>"Overdue"</formula>
    </cfRule>
    <cfRule type="cellIs" priority="30" operator="equal" dxfId="3">
      <formula>"Due Within 14 Days"</formula>
    </cfRule>
  </conditionalFormatting>
  <conditionalFormatting sqref="E87:E91">
    <cfRule type="cellIs" priority="31" operator="greaterThan" dxfId="7">
      <formula>0</formula>
    </cfRule>
  </conditionalFormatting>
  <conditionalFormatting sqref="I88:K88">
    <cfRule type="cellIs" priority="32" operator="equal" dxfId="4">
      <formula>"Past Due"</formula>
    </cfRule>
  </conditionalFormatting>
  <conditionalFormatting sqref="J97:J109">
    <cfRule type="cellIs" priority="33" operator="equal" dxfId="8">
      <formula>"OK"</formula>
    </cfRule>
    <cfRule type="cellIs" priority="34" operator="equal" dxfId="3">
      <formula>"Review"</formula>
    </cfRule>
  </conditionalFormatting>
  <pageMargins left="0.4" right="0.4" top="1" bottom="1" header="0.5" footer="0.5"/>
  <pageSetup orientation="portrait" fitToHeight="0" fitToWidth="1"/>
  <headerFooter>
    <oddHeader/>
    <oddFooter>&amp;L&amp;8 Intergov Association | Strategic Plan Tracker | Executive Dashboard&amp;R&amp;8 Page &amp;P of &amp;N</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tabColor rgb="00192E43"/>
    <outlinePr summaryBelow="1" summaryRight="1"/>
    <pageSetUpPr fitToPage="1"/>
  </sheetPr>
  <dimension ref="A1:U17"/>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9" customWidth="1" min="1" max="1"/>
    <col width="44" customWidth="1" min="2" max="2"/>
    <col width="17" customWidth="1" min="3" max="3"/>
    <col width="48" customWidth="1" min="4" max="4"/>
    <col width="32" customWidth="1" min="5" max="5"/>
    <col width="28" customWidth="1" min="6" max="6"/>
    <col width="32" customWidth="1" min="7" max="7"/>
    <col width="12" customWidth="1" min="8" max="8"/>
    <col width="16" customWidth="1" min="9" max="9"/>
    <col width="18" customWidth="1" min="10" max="10"/>
    <col width="12" customWidth="1" min="11" max="11"/>
    <col width="12" customWidth="1" min="12" max="12"/>
    <col width="12" customWidth="1" min="13" max="13"/>
    <col width="40" customWidth="1" min="14" max="14"/>
    <col width="10" customWidth="1" min="15" max="15"/>
    <col width="11" customWidth="1" min="16" max="16"/>
    <col width="12" customWidth="1" min="17" max="17"/>
    <col width="11" customWidth="1" min="18" max="18"/>
    <col width="11" customWidth="1" min="19" max="19"/>
    <col width="11" customWidth="1" min="20" max="20"/>
    <col width="14" customWidth="1" min="21" max="21"/>
  </cols>
  <sheetData>
    <row r="1">
      <c r="A1" s="46" t="inlineStr">
        <is>
          <t>Strategic Objectives</t>
        </is>
      </c>
    </row>
    <row r="2">
      <c r="A2" s="18" t="inlineStr">
        <is>
          <t>Four to seven outcomes the plan commits to. Each objective needs one lead, a measurable result, and a date.</t>
        </is>
      </c>
    </row>
    <row r="3">
      <c r="A3" s="33" t="inlineStr">
        <is>
          <t xml:space="preserve">Navy headers: enter data. Slate headers with gray cells: calculated, do not overwrite. </t>
        </is>
      </c>
    </row>
    <row r="5" ht="34" customHeight="1">
      <c r="A5" s="47" t="inlineStr">
        <is>
          <t>ID</t>
        </is>
      </c>
      <c r="B5" s="47" t="inlineStr">
        <is>
          <t>Objective</t>
        </is>
      </c>
      <c r="C5" s="47" t="inlineStr">
        <is>
          <t>Type</t>
        </is>
      </c>
      <c r="D5" s="47" t="inlineStr">
        <is>
          <t>Intended Outcome</t>
        </is>
      </c>
      <c r="E5" s="47" t="inlineStr">
        <is>
          <t>Success Measure</t>
        </is>
      </c>
      <c r="F5" s="47" t="inlineStr">
        <is>
          <t>Baseline</t>
        </is>
      </c>
      <c r="G5" s="47" t="inlineStr">
        <is>
          <t>Target</t>
        </is>
      </c>
      <c r="H5" s="47" t="inlineStr">
        <is>
          <t>Executive Priority</t>
        </is>
      </c>
      <c r="I5" s="47" t="inlineStr">
        <is>
          <t>Lead</t>
        </is>
      </c>
      <c r="J5" s="47" t="inlineStr">
        <is>
          <t>Support</t>
        </is>
      </c>
      <c r="K5" s="47" t="inlineStr">
        <is>
          <t>Start Date</t>
        </is>
      </c>
      <c r="L5" s="47" t="inlineStr">
        <is>
          <t>Target Date</t>
        </is>
      </c>
      <c r="M5" s="47" t="inlineStr">
        <is>
          <t>Status</t>
        </is>
      </c>
      <c r="N5" s="47" t="inlineStr">
        <is>
          <t>Status Note</t>
        </is>
      </c>
      <c r="O5" s="48" t="inlineStr">
        <is>
          <t>Days to Target</t>
        </is>
      </c>
      <c r="P5" s="48" t="inlineStr">
        <is>
          <t>Milestones</t>
        </is>
      </c>
      <c r="Q5" s="48" t="inlineStr">
        <is>
          <t>Milestones Complete</t>
        </is>
      </c>
      <c r="R5" s="48" t="inlineStr">
        <is>
          <t>Percent Complete</t>
        </is>
      </c>
      <c r="S5" s="48" t="inlineStr">
        <is>
          <t>Overdue Milestones</t>
        </is>
      </c>
      <c r="T5" s="48" t="inlineStr">
        <is>
          <t>Open High Risks</t>
        </is>
      </c>
      <c r="U5" s="48" t="inlineStr">
        <is>
          <t>Latest Review Status</t>
        </is>
      </c>
    </row>
    <row r="6">
      <c r="A6" s="49" t="inlineStr">
        <is>
          <t>OBJ-1</t>
        </is>
      </c>
      <c r="B6" s="27" t="inlineStr">
        <is>
          <t>Secure state enabling authority for a county transportation local-option sales tax</t>
        </is>
      </c>
      <c r="C6" s="27" t="inlineStr">
        <is>
          <t>Legislative</t>
        </is>
      </c>
      <c r="D6" s="27" t="inlineStr">
        <is>
          <t>The General Assembly enacts SB 214, allowing Eastbrook County to place a transportation sales tax before voters, with a rate ceiling of at least 0.5 percent and no restriction that excludes bridge capital.</t>
        </is>
      </c>
      <c r="E6" s="27" t="inlineStr">
        <is>
          <t>SB 214 enacted with the county option intact</t>
        </is>
      </c>
      <c r="F6" s="27" t="inlineStr">
        <is>
          <t>No county authority to levy a local-option transportation sales tax</t>
        </is>
      </c>
      <c r="G6" s="27" t="inlineStr">
        <is>
          <t>Enacted by the governor's action deadline; rate ceiling at or above 0.5 percent; bridge capital eligible</t>
        </is>
      </c>
      <c r="H6" s="49" t="inlineStr">
        <is>
          <t>EP-1</t>
        </is>
      </c>
      <c r="I6" s="49" t="inlineStr">
        <is>
          <t>Jordan Pike</t>
        </is>
      </c>
      <c r="J6" s="27" t="inlineStr">
        <is>
          <t>Elena Marsh</t>
        </is>
      </c>
      <c r="K6" s="50" t="n">
        <v>46391</v>
      </c>
      <c r="L6" s="50" t="n">
        <v>46535</v>
      </c>
      <c r="M6" s="49" t="inlineStr">
        <is>
          <t>On Track</t>
        </is>
      </c>
      <c r="N6" s="27" t="inlineStr">
        <is>
          <t>Passed the originating chamber Mar 10. House committee vote set for Apr 14.</t>
        </is>
      </c>
      <c r="O6" s="51">
        <f>IF(OR(tblObjectives[[#This Row],[ID]]="",tblObjectives[[#This Row],[Target Date]]=""),"",tblObjectives[[#This Row],[Target Date]]-AsOf)</f>
        <v>50</v>
      </c>
      <c r="P6" s="51">
        <f>IF(tblObjectives[[#This Row],[ID]]="","",COUNTIFS(tblMilestones[Objective ID],tblObjectives[[#This Row],[ID]]))</f>
        <v>8</v>
      </c>
      <c r="Q6" s="51">
        <f>IF(tblObjectives[[#This Row],[ID]]="","",COUNTIFS(tblMilestones[Objective ID],tblObjectives[[#This Row],[ID]],tblMilestones[Status],"Complete"))</f>
        <v>5</v>
      </c>
      <c r="R6" s="52">
        <f>IF(OR(tblObjectives[[#This Row],[ID]]="",tblObjectives[[#This Row],[Milestones]]=0),"",tblObjectives[[#This Row],[Milestones Complete]]/tblObjectives[[#This Row],[Milestones]])</f>
        <v>0.625</v>
      </c>
      <c r="S6" s="51">
        <f>IF(tblObjectives[[#This Row],[ID]]="","",COUNTIFS(tblMilestones[Objective ID],tblObjectives[[#This Row],[ID]],tblMilestones[Schedule Flag],"Overdue"))</f>
        <v>0</v>
      </c>
      <c r="T6" s="51">
        <f>IF(tblObjectives[[#This Row],[ID]]="","",COUNTIFS(tblRisks[Objective ID],tblObjectives[[#This Row],[ID]],tblRisks[Rating],"High",tblRisks[Status],"&lt;&gt;Closed"))</f>
        <v>2</v>
      </c>
      <c r="U6" s="53" t="str">
        <f>IF(tblObjectives[[#This Row],[ID]]="","",IFERROR(INDEX(tblQuarterly[Status],MATCH("Q4|"&amp;tblObjectives[[#This Row],[ID]],tblQuarterly[Key],0)),IFERROR(INDEX(tblQuarterly[Status],MATCH("Q3|"&amp;tblObjectives[[#This Row],[ID]],tblQuarterly[Key],0)),IFERROR(INDEX(tblQuarterly[Status],MATCH("Q2|"&amp;tblObjectives[[#This Row],[ID]],tblQuarterly[Key],0)),IFERROR(INDEX(tblQuarterly[Status],MATCH("Q1|"&amp;tblObjectives[[#This Row],[ID]],tblQuarterly[Key],0)),"")))))</f>
        <v>On Track</v>
      </c>
    </row>
    <row r="7">
      <c r="A7" s="49" t="inlineStr">
        <is>
          <t>OBJ-2</t>
        </is>
      </c>
      <c r="B7" s="27" t="inlineStr">
        <is>
          <t>Preserve county stormwater and permitting standards in state uniformity legislation</t>
        </is>
      </c>
      <c r="C7" s="27" t="inlineStr">
        <is>
          <t>Legislative</t>
        </is>
      </c>
      <c r="D7" s="27" t="inlineStr">
        <is>
          <t>HB 388 dies or is amended so counties keep standards stricter than the state minimum, and the related state stormwater permit rule does not reduce county authority.</t>
        </is>
      </c>
      <c r="E7" s="27" t="inlineStr">
        <is>
          <t>County authority to apply stricter local standards retained</t>
        </is>
      </c>
      <c r="F7" s="27" t="inlineStr">
        <is>
          <t>HB 388 as filed would preempt stricter local standards</t>
        </is>
      </c>
      <c r="G7" s="27" t="inlineStr">
        <is>
          <t>Opt-out language in any enacted bill; written comments filed on the permit rule</t>
        </is>
      </c>
      <c r="H7" s="49" t="inlineStr">
        <is>
          <t>EP-2</t>
        </is>
      </c>
      <c r="I7" s="49" t="inlineStr">
        <is>
          <t>Jordan Pike</t>
        </is>
      </c>
      <c r="J7" s="27" t="inlineStr">
        <is>
          <t>Owen Reyes</t>
        </is>
      </c>
      <c r="K7" s="50" t="n">
        <v>46391</v>
      </c>
      <c r="L7" s="50" t="n">
        <v>46521</v>
      </c>
      <c r="M7" s="49" t="inlineStr">
        <is>
          <t>On Track</t>
        </is>
      </c>
      <c r="N7" s="27" t="inlineStr">
        <is>
          <t>Opt-out amendment adopted in the House. Senate committee action set for Apr 16.</t>
        </is>
      </c>
      <c r="O7" s="51">
        <f>IF(OR(tblObjectives[[#This Row],[ID]]="",tblObjectives[[#This Row],[Target Date]]=""),"",tblObjectives[[#This Row],[Target Date]]-AsOf)</f>
        <v>36</v>
      </c>
      <c r="P7" s="51">
        <f>IF(tblObjectives[[#This Row],[ID]]="","",COUNTIFS(tblMilestones[Objective ID],tblObjectives[[#This Row],[ID]]))</f>
        <v>5</v>
      </c>
      <c r="Q7" s="51">
        <f>IF(tblObjectives[[#This Row],[ID]]="","",COUNTIFS(tblMilestones[Objective ID],tblObjectives[[#This Row],[ID]],tblMilestones[Status],"Complete"))</f>
        <v>3</v>
      </c>
      <c r="R7" s="52">
        <f>IF(OR(tblObjectives[[#This Row],[ID]]="",tblObjectives[[#This Row],[Milestones]]=0),"",tblObjectives[[#This Row],[Milestones Complete]]/tblObjectives[[#This Row],[Milestones]])</f>
        <v>0.6</v>
      </c>
      <c r="S7" s="51">
        <f>IF(tblObjectives[[#This Row],[ID]]="","",COUNTIFS(tblMilestones[Objective ID],tblObjectives[[#This Row],[ID]],tblMilestones[Schedule Flag],"Overdue"))</f>
        <v>0</v>
      </c>
      <c r="T7" s="51">
        <f>IF(tblObjectives[[#This Row],[ID]]="","",COUNTIFS(tblRisks[Objective ID],tblObjectives[[#This Row],[ID]],tblRisks[Rating],"High",tblRisks[Status],"&lt;&gt;Closed"))</f>
        <v>1</v>
      </c>
      <c r="U7" s="53" t="str">
        <f>IF(tblObjectives[[#This Row],[ID]]="","",IFERROR(INDEX(tblQuarterly[Status],MATCH("Q4|"&amp;tblObjectives[[#This Row],[ID]],tblQuarterly[Key],0)),IFERROR(INDEX(tblQuarterly[Status],MATCH("Q3|"&amp;tblObjectives[[#This Row],[ID]],tblQuarterly[Key],0)),IFERROR(INDEX(tblQuarterly[Status],MATCH("Q2|"&amp;tblObjectives[[#This Row],[ID]],tblQuarterly[Key],0)),IFERROR(INDEX(tblQuarterly[Status],MATCH("Q1|"&amp;tblObjectives[[#This Row],[ID]],tblQuarterly[Key],0)),"")))))</f>
        <v>On Track</v>
      </c>
    </row>
    <row r="8">
      <c r="A8" s="49" t="inlineStr">
        <is>
          <t>OBJ-3</t>
        </is>
      </c>
      <c r="B8" s="27" t="inlineStr">
        <is>
          <t>Position the Calloway River Bridge replacement for a competitive federal discretionary grant</t>
        </is>
      </c>
      <c r="C8" s="27" t="inlineStr">
        <is>
          <t>Administrative</t>
        </is>
      </c>
      <c r="D8" s="27" t="inlineStr">
        <is>
          <t>Eastbrook submits a complete application with written nonfederal match commitments from the County, Riverton City, State DOT, and the Transit Authority, delegation support, and a documented engagement record.</t>
        </is>
      </c>
      <c r="E8" s="27" t="inlineStr">
        <is>
          <t>Application submitted with committed match</t>
        </is>
      </c>
      <c r="F8" s="27" t="inlineStr">
        <is>
          <t>No application; match sources not committed</t>
        </is>
      </c>
      <c r="G8" s="27" t="inlineStr">
        <is>
          <t>Submitted by the assumed federal deadline with match commitments in writing</t>
        </is>
      </c>
      <c r="H8" s="49" t="inlineStr">
        <is>
          <t>EP-1</t>
        </is>
      </c>
      <c r="I8" s="49" t="inlineStr">
        <is>
          <t>Samuel Ortega</t>
        </is>
      </c>
      <c r="J8" s="27" t="inlineStr">
        <is>
          <t>Gerald Whitcomb; Lena Park</t>
        </is>
      </c>
      <c r="K8" s="50" t="n">
        <v>46398</v>
      </c>
      <c r="L8" s="50" t="n">
        <v>46660</v>
      </c>
      <c r="M8" s="49" t="inlineStr">
        <is>
          <t>At Risk</t>
        </is>
      </c>
      <c r="N8" s="27" t="inlineStr">
        <is>
          <t>Notice timing unconfirmed. Match depends on OBJ-1 and OBJ-4. Harlan County overlap unresolved.</t>
        </is>
      </c>
      <c r="O8" s="51">
        <f>IF(OR(tblObjectives[[#This Row],[ID]]="",tblObjectives[[#This Row],[Target Date]]=""),"",tblObjectives[[#This Row],[Target Date]]-AsOf)</f>
        <v>175</v>
      </c>
      <c r="P8" s="51">
        <f>IF(tblObjectives[[#This Row],[ID]]="","",COUNTIFS(tblMilestones[Objective ID],tblObjectives[[#This Row],[ID]]))</f>
        <v>8</v>
      </c>
      <c r="Q8" s="51">
        <f>IF(tblObjectives[[#This Row],[ID]]="","",COUNTIFS(tblMilestones[Objective ID],tblObjectives[[#This Row],[ID]],tblMilestones[Status],"Complete"))</f>
        <v>2</v>
      </c>
      <c r="R8" s="52">
        <f>IF(OR(tblObjectives[[#This Row],[ID]]="",tblObjectives[[#This Row],[Milestones]]=0),"",tblObjectives[[#This Row],[Milestones Complete]]/tblObjectives[[#This Row],[Milestones]])</f>
        <v>0.25</v>
      </c>
      <c r="S8" s="51">
        <f>IF(tblObjectives[[#This Row],[ID]]="","",COUNTIFS(tblMilestones[Objective ID],tblObjectives[[#This Row],[ID]],tblMilestones[Schedule Flag],"Overdue"))</f>
        <v>0</v>
      </c>
      <c r="T8" s="51">
        <f>IF(tblObjectives[[#This Row],[ID]]="","",COUNTIFS(tblRisks[Objective ID],tblObjectives[[#This Row],[ID]],tblRisks[Rating],"High",tblRisks[Status],"&lt;&gt;Closed"))</f>
        <v>2</v>
      </c>
      <c r="U8" s="53" t="str">
        <f>IF(tblObjectives[[#This Row],[ID]]="","",IFERROR(INDEX(tblQuarterly[Status],MATCH("Q4|"&amp;tblObjectives[[#This Row],[ID]],tblQuarterly[Key],0)),IFERROR(INDEX(tblQuarterly[Status],MATCH("Q3|"&amp;tblObjectives[[#This Row],[ID]],tblQuarterly[Key],0)),IFERROR(INDEX(tblQuarterly[Status],MATCH("Q2|"&amp;tblObjectives[[#This Row],[ID]],tblQuarterly[Key],0)),IFERROR(INDEX(tblQuarterly[Status],MATCH("Q1|"&amp;tblObjectives[[#This Row],[ID]],tblQuarterly[Key],0)),"")))))</f>
        <v>At Risk</v>
      </c>
    </row>
    <row r="9">
      <c r="A9" s="49" t="inlineStr">
        <is>
          <t>OBJ-4</t>
        </is>
      </c>
      <c r="B9" s="27" t="inlineStr">
        <is>
          <t>Execute the Calloway River Bridge interlocal agreement</t>
        </is>
      </c>
      <c r="C9" s="27" t="inlineStr">
        <is>
          <t>Intergovernmental Agreement</t>
        </is>
      </c>
      <c r="D9" s="27" t="inlineStr">
        <is>
          <t>The County, Riverton City, and the River Valley Transit Authority approve and execute an agreement allocating design, construction, ownership, maintenance, and nonfederal cost responsibility.</t>
        </is>
      </c>
      <c r="E9" s="27" t="inlineStr">
        <is>
          <t>Agreement executed by all three governing bodies</t>
        </is>
      </c>
      <c r="F9" s="27" t="inlineStr">
        <is>
          <t>Informal understanding only; no term sheet</t>
        </is>
      </c>
      <c r="G9" s="27" t="inlineStr">
        <is>
          <t>Executed by Aug 31, 2027</t>
        </is>
      </c>
      <c r="H9" s="49" t="inlineStr">
        <is>
          <t>EP-3</t>
        </is>
      </c>
      <c r="I9" s="49" t="inlineStr">
        <is>
          <t>Alicia Brandt</t>
        </is>
      </c>
      <c r="J9" s="27" t="inlineStr">
        <is>
          <t>Owen Reyes</t>
        </is>
      </c>
      <c r="K9" s="50" t="n">
        <v>46405</v>
      </c>
      <c r="L9" s="50" t="n">
        <v>46630</v>
      </c>
      <c r="M9" s="49" t="inlineStr">
        <is>
          <t>At Risk</t>
        </is>
      </c>
      <c r="N9" s="27" t="inlineStr">
        <is>
          <t>Cost allocation stalemate escalated and resolved Apr 1. Term sheet slipped to May 14.</t>
        </is>
      </c>
      <c r="O9" s="51">
        <f>IF(OR(tblObjectives[[#This Row],[ID]]="",tblObjectives[[#This Row],[Target Date]]=""),"",tblObjectives[[#This Row],[Target Date]]-AsOf)</f>
        <v>145</v>
      </c>
      <c r="P9" s="51">
        <f>IF(tblObjectives[[#This Row],[ID]]="","",COUNTIFS(tblMilestones[Objective ID],tblObjectives[[#This Row],[ID]]))</f>
        <v>4</v>
      </c>
      <c r="Q9" s="51">
        <f>IF(tblObjectives[[#This Row],[ID]]="","",COUNTIFS(tblMilestones[Objective ID],tblObjectives[[#This Row],[ID]],tblMilestones[Status],"Complete"))</f>
        <v>0</v>
      </c>
      <c r="R9" s="52">
        <f>IF(OR(tblObjectives[[#This Row],[ID]]="",tblObjectives[[#This Row],[Milestones]]=0),"",tblObjectives[[#This Row],[Milestones Complete]]/tblObjectives[[#This Row],[Milestones]])</f>
        <v>0</v>
      </c>
      <c r="S9" s="51">
        <f>IF(tblObjectives[[#This Row],[ID]]="","",COUNTIFS(tblMilestones[Objective ID],tblObjectives[[#This Row],[ID]],tblMilestones[Schedule Flag],"Overdue"))</f>
        <v>0</v>
      </c>
      <c r="T9" s="51">
        <f>IF(tblObjectives[[#This Row],[ID]]="","",COUNTIFS(tblRisks[Objective ID],tblObjectives[[#This Row],[ID]],tblRisks[Rating],"High",tblRisks[Status],"&lt;&gt;Closed"))</f>
        <v>1</v>
      </c>
      <c r="U9" s="53" t="str">
        <f>IF(tblObjectives[[#This Row],[ID]]="","",IFERROR(INDEX(tblQuarterly[Status],MATCH("Q4|"&amp;tblObjectives[[#This Row],[ID]],tblQuarterly[Key],0)),IFERROR(INDEX(tblQuarterly[Status],MATCH("Q3|"&amp;tblObjectives[[#This Row],[ID]],tblQuarterly[Key],0)),IFERROR(INDEX(tblQuarterly[Status],MATCH("Q2|"&amp;tblObjectives[[#This Row],[ID]],tblQuarterly[Key],0)),IFERROR(INDEX(tblQuarterly[Status],MATCH("Q1|"&amp;tblObjectives[[#This Row],[ID]],tblQuarterly[Key],0)),"")))))</f>
        <v>At Risk</v>
      </c>
    </row>
    <row r="10">
      <c r="A10" s="49" t="inlineStr">
        <is>
          <t>OBJ-5</t>
        </is>
      </c>
      <c r="B10" s="27" t="inlineStr">
        <is>
          <t>Establish a standing coordination process with the Three Fords Tribal Nation</t>
        </is>
      </c>
      <c r="C10" s="27" t="inlineStr">
        <is>
          <t>Relationship</t>
        </is>
      </c>
      <c r="D10" s="27" t="inlineStr">
        <is>
          <t>A written coordination protocol is agreed, at least two leader-level meetings are held before the application is finalized, and the Nation's concerns about the east-bank corridor are documented and conveyed to the federal lead agency.</t>
        </is>
      </c>
      <c r="E10" s="27" t="inlineStr">
        <is>
          <t>Protocol agreed; two leader-level meetings held; concerns documented</t>
        </is>
      </c>
      <c r="F10" s="27" t="inlineStr">
        <is>
          <t>No standing channel; staff-level contact only</t>
        </is>
      </c>
      <c r="G10" s="27" t="inlineStr">
        <is>
          <t>Protocol agreed and two leader-level meetings held by Aug 13, 2027</t>
        </is>
      </c>
      <c r="H10" s="49" t="inlineStr">
        <is>
          <t>EP-3</t>
        </is>
      </c>
      <c r="I10" s="49" t="inlineStr">
        <is>
          <t>Elena Marsh</t>
        </is>
      </c>
      <c r="J10" s="27" t="inlineStr">
        <is>
          <t>Alicia Brandt</t>
        </is>
      </c>
      <c r="K10" s="50" t="n">
        <v>46412</v>
      </c>
      <c r="L10" s="50" t="n">
        <v>46612</v>
      </c>
      <c r="M10" s="49" t="inlineStr">
        <is>
          <t>Off Track</t>
        </is>
      </c>
      <c r="N10" s="27" t="inlineStr">
        <is>
          <t>Invitation letter awaiting County Executive signature since Mar 22.</t>
        </is>
      </c>
      <c r="O10" s="51">
        <f>IF(OR(tblObjectives[[#This Row],[ID]]="",tblObjectives[[#This Row],[Target Date]]=""),"",tblObjectives[[#This Row],[Target Date]]-AsOf)</f>
        <v>127</v>
      </c>
      <c r="P10" s="51">
        <f>IF(tblObjectives[[#This Row],[ID]]="","",COUNTIFS(tblMilestones[Objective ID],tblObjectives[[#This Row],[ID]]))</f>
        <v>5</v>
      </c>
      <c r="Q10" s="51">
        <f>IF(tblObjectives[[#This Row],[ID]]="","",COUNTIFS(tblMilestones[Objective ID],tblObjectives[[#This Row],[ID]],tblMilestones[Status],"Complete"))</f>
        <v>1</v>
      </c>
      <c r="R10" s="52">
        <f>IF(OR(tblObjectives[[#This Row],[ID]]="",tblObjectives[[#This Row],[Milestones]]=0),"",tblObjectives[[#This Row],[Milestones Complete]]/tblObjectives[[#This Row],[Milestones]])</f>
        <v>0.2</v>
      </c>
      <c r="S10" s="51">
        <f>IF(tblObjectives[[#This Row],[ID]]="","",COUNTIFS(tblMilestones[Objective ID],tblObjectives[[#This Row],[ID]],tblMilestones[Schedule Flag],"Overdue"))</f>
        <v>0</v>
      </c>
      <c r="T10" s="51">
        <f>IF(tblObjectives[[#This Row],[ID]]="","",COUNTIFS(tblRisks[Objective ID],tblObjectives[[#This Row],[ID]],tblRisks[Rating],"High",tblRisks[Status],"&lt;&gt;Closed"))</f>
        <v>0</v>
      </c>
      <c r="U10" s="53" t="str">
        <f>IF(tblObjectives[[#This Row],[ID]]="","",IFERROR(INDEX(tblQuarterly[Status],MATCH("Q4|"&amp;tblObjectives[[#This Row],[ID]],tblQuarterly[Key],0)),IFERROR(INDEX(tblQuarterly[Status],MATCH("Q3|"&amp;tblObjectives[[#This Row],[ID]],tblQuarterly[Key],0)),IFERROR(INDEX(tblQuarterly[Status],MATCH("Q2|"&amp;tblObjectives[[#This Row],[ID]],tblQuarterly[Key],0)),IFERROR(INDEX(tblQuarterly[Status],MATCH("Q1|"&amp;tblObjectives[[#This Row],[ID]],tblQuarterly[Key],0)),"")))))</f>
        <v>Off Track</v>
      </c>
    </row>
    <row r="11">
      <c r="A11" s="49" t="inlineStr">
        <is>
          <t>OBJ-6</t>
        </is>
      </c>
      <c r="B11" s="27" t="inlineStr">
        <is>
          <t>Establish one executive reporting and position-clearance process</t>
        </is>
      </c>
      <c r="C11" s="27" t="inlineStr">
        <is>
          <t>Internal Process</t>
        </is>
      </c>
      <c r="D11" s="27" t="inlineStr">
        <is>
          <t>All public positions on state and federal matters clear through a written protocol, and leadership receives a quarterly intergovernmental report within 15 days of quarter end.</t>
        </is>
      </c>
      <c r="E11" s="27" t="inlineStr">
        <is>
          <t>Protocol adopted; Q1 to Q3 reports delivered on time</t>
        </is>
      </c>
      <c r="F11" s="27" t="inlineStr">
        <is>
          <t>Positions cleared case by case; no regular report</t>
        </is>
      </c>
      <c r="G11" s="27" t="inlineStr">
        <is>
          <t>Protocol adopted by Jan 22; three quarterly reports delivered on time</t>
        </is>
      </c>
      <c r="H11" s="49" t="inlineStr">
        <is>
          <t>EP-4</t>
        </is>
      </c>
      <c r="I11" s="49" t="inlineStr">
        <is>
          <t>Elena Marsh</t>
        </is>
      </c>
      <c r="J11" s="27" t="inlineStr">
        <is>
          <t>Owen Reyes</t>
        </is>
      </c>
      <c r="K11" s="50" t="n">
        <v>46391</v>
      </c>
      <c r="L11" s="50" t="n">
        <v>46675</v>
      </c>
      <c r="M11" s="49" t="inlineStr">
        <is>
          <t>On Track</t>
        </is>
      </c>
      <c r="N11" s="27" t="inlineStr">
        <is>
          <t>Protocol approved Jan 29, one week after the Jan 22 target (MS-002). The delay did not hold up implementation or reporting. Q1 report in draft for Apr 15.</t>
        </is>
      </c>
      <c r="O11" s="51">
        <f>IF(OR(tblObjectives[[#This Row],[ID]]="",tblObjectives[[#This Row],[Target Date]]=""),"",tblObjectives[[#This Row],[Target Date]]-AsOf)</f>
        <v>190</v>
      </c>
      <c r="P11" s="51">
        <f>IF(tblObjectives[[#This Row],[ID]]="","",COUNTIFS(tblMilestones[Objective ID],tblObjectives[[#This Row],[ID]]))</f>
        <v>6</v>
      </c>
      <c r="Q11" s="51">
        <f>IF(tblObjectives[[#This Row],[ID]]="","",COUNTIFS(tblMilestones[Objective ID],tblObjectives[[#This Row],[ID]],tblMilestones[Status],"Complete"))</f>
        <v>2</v>
      </c>
      <c r="R11" s="52">
        <f>IF(OR(tblObjectives[[#This Row],[ID]]="",tblObjectives[[#This Row],[Milestones]]=0),"",tblObjectives[[#This Row],[Milestones Complete]]/tblObjectives[[#This Row],[Milestones]])</f>
        <v>0.333333333333333</v>
      </c>
      <c r="S11" s="51">
        <f>IF(tblObjectives[[#This Row],[ID]]="","",COUNTIFS(tblMilestones[Objective ID],tblObjectives[[#This Row],[ID]],tblMilestones[Schedule Flag],"Overdue"))</f>
        <v>0</v>
      </c>
      <c r="T11" s="51">
        <f>IF(tblObjectives[[#This Row],[ID]]="","",COUNTIFS(tblRisks[Objective ID],tblObjectives[[#This Row],[ID]],tblRisks[Rating],"High",tblRisks[Status],"&lt;&gt;Closed"))</f>
        <v>0</v>
      </c>
      <c r="U11" s="53" t="str">
        <f>IF(tblObjectives[[#This Row],[ID]]="","",IFERROR(INDEX(tblQuarterly[Status],MATCH("Q4|"&amp;tblObjectives[[#This Row],[ID]],tblQuarterly[Key],0)),IFERROR(INDEX(tblQuarterly[Status],MATCH("Q3|"&amp;tblObjectives[[#This Row],[ID]],tblQuarterly[Key],0)),IFERROR(INDEX(tblQuarterly[Status],MATCH("Q2|"&amp;tblObjectives[[#This Row],[ID]],tblQuarterly[Key],0)),IFERROR(INDEX(tblQuarterly[Status],MATCH("Q1|"&amp;tblObjectives[[#This Row],[ID]],tblQuarterly[Key],0)),"")))))</f>
        <v>On Track</v>
      </c>
    </row>
    <row r="12">
      <c r="A12" s="49" t="n"/>
      <c r="B12" s="27" t="n"/>
      <c r="C12" s="27" t="n"/>
      <c r="D12" s="27" t="n"/>
      <c r="E12" s="27" t="n"/>
      <c r="F12" s="27" t="n"/>
      <c r="G12" s="27" t="n"/>
      <c r="H12" s="49" t="n"/>
      <c r="I12" s="49" t="n"/>
      <c r="J12" s="27" t="n"/>
      <c r="K12" s="50" t="n"/>
      <c r="L12" s="50" t="n"/>
      <c r="M12" s="49" t="n"/>
      <c r="N12" s="27" t="n"/>
      <c r="O12" s="51" t="str">
        <f>IF(OR(tblObjectives[[#This Row],[ID]]="",tblObjectives[[#This Row],[Target Date]]=""),"",tblObjectives[[#This Row],[Target Date]]-AsOf)</f>
        <v/>
      </c>
      <c r="P12" s="51" t="str">
        <f>IF(tblObjectives[[#This Row],[ID]]="","",COUNTIFS(tblMilestones[Objective ID],tblObjectives[[#This Row],[ID]]))</f>
        <v/>
      </c>
      <c r="Q12" s="51" t="str">
        <f>IF(tblObjectives[[#This Row],[ID]]="","",COUNTIFS(tblMilestones[Objective ID],tblObjectives[[#This Row],[ID]],tblMilestones[Status],"Complete"))</f>
        <v/>
      </c>
      <c r="R12" s="52" t="str">
        <f>IF(OR(tblObjectives[[#This Row],[ID]]="",tblObjectives[[#This Row],[Milestones]]=0),"",tblObjectives[[#This Row],[Milestones Complete]]/tblObjectives[[#This Row],[Milestones]])</f>
        <v/>
      </c>
      <c r="S12" s="51" t="str">
        <f>IF(tblObjectives[[#This Row],[ID]]="","",COUNTIFS(tblMilestones[Objective ID],tblObjectives[[#This Row],[ID]],tblMilestones[Schedule Flag],"Overdue"))</f>
        <v/>
      </c>
      <c r="T12" s="51" t="str">
        <f>IF(tblObjectives[[#This Row],[ID]]="","",COUNTIFS(tblRisks[Objective ID],tblObjectives[[#This Row],[ID]],tblRisks[Rating],"High",tblRisks[Status],"&lt;&gt;Closed"))</f>
        <v/>
      </c>
      <c r="U12" s="53" t="str">
        <f>IF(tblObjectives[[#This Row],[ID]]="","",IFERROR(INDEX(tblQuarterly[Status],MATCH("Q4|"&amp;tblObjectives[[#This Row],[ID]],tblQuarterly[Key],0)),IFERROR(INDEX(tblQuarterly[Status],MATCH("Q3|"&amp;tblObjectives[[#This Row],[ID]],tblQuarterly[Key],0)),IFERROR(INDEX(tblQuarterly[Status],MATCH("Q2|"&amp;tblObjectives[[#This Row],[ID]],tblQuarterly[Key],0)),IFERROR(INDEX(tblQuarterly[Status],MATCH("Q1|"&amp;tblObjectives[[#This Row],[ID]],tblQuarterly[Key],0)),"")))))</f>
        <v/>
      </c>
    </row>
    <row r="13">
      <c r="A13" s="49" t="n"/>
      <c r="B13" s="27" t="n"/>
      <c r="C13" s="27" t="n"/>
      <c r="D13" s="27" t="n"/>
      <c r="E13" s="27" t="n"/>
      <c r="F13" s="27" t="n"/>
      <c r="G13" s="27" t="n"/>
      <c r="H13" s="49" t="n"/>
      <c r="I13" s="49" t="n"/>
      <c r="J13" s="27" t="n"/>
      <c r="K13" s="50" t="n"/>
      <c r="L13" s="50" t="n"/>
      <c r="M13" s="49" t="n"/>
      <c r="N13" s="27" t="n"/>
      <c r="O13" s="51" t="str">
        <f>IF(OR(tblObjectives[[#This Row],[ID]]="",tblObjectives[[#This Row],[Target Date]]=""),"",tblObjectives[[#This Row],[Target Date]]-AsOf)</f>
        <v/>
      </c>
      <c r="P13" s="51" t="str">
        <f>IF(tblObjectives[[#This Row],[ID]]="","",COUNTIFS(tblMilestones[Objective ID],tblObjectives[[#This Row],[ID]]))</f>
        <v/>
      </c>
      <c r="Q13" s="51" t="str">
        <f>IF(tblObjectives[[#This Row],[ID]]="","",COUNTIFS(tblMilestones[Objective ID],tblObjectives[[#This Row],[ID]],tblMilestones[Status],"Complete"))</f>
        <v/>
      </c>
      <c r="R13" s="52" t="str">
        <f>IF(OR(tblObjectives[[#This Row],[ID]]="",tblObjectives[[#This Row],[Milestones]]=0),"",tblObjectives[[#This Row],[Milestones Complete]]/tblObjectives[[#This Row],[Milestones]])</f>
        <v/>
      </c>
      <c r="S13" s="51" t="str">
        <f>IF(tblObjectives[[#This Row],[ID]]="","",COUNTIFS(tblMilestones[Objective ID],tblObjectives[[#This Row],[ID]],tblMilestones[Schedule Flag],"Overdue"))</f>
        <v/>
      </c>
      <c r="T13" s="51" t="str">
        <f>IF(tblObjectives[[#This Row],[ID]]="","",COUNTIFS(tblRisks[Objective ID],tblObjectives[[#This Row],[ID]],tblRisks[Rating],"High",tblRisks[Status],"&lt;&gt;Closed"))</f>
        <v/>
      </c>
      <c r="U13" s="53" t="str">
        <f>IF(tblObjectives[[#This Row],[ID]]="","",IFERROR(INDEX(tblQuarterly[Status],MATCH("Q4|"&amp;tblObjectives[[#This Row],[ID]],tblQuarterly[Key],0)),IFERROR(INDEX(tblQuarterly[Status],MATCH("Q3|"&amp;tblObjectives[[#This Row],[ID]],tblQuarterly[Key],0)),IFERROR(INDEX(tblQuarterly[Status],MATCH("Q2|"&amp;tblObjectives[[#This Row],[ID]],tblQuarterly[Key],0)),IFERROR(INDEX(tblQuarterly[Status],MATCH("Q1|"&amp;tblObjectives[[#This Row],[ID]],tblQuarterly[Key],0)),"")))))</f>
        <v/>
      </c>
    </row>
    <row r="14">
      <c r="A14" s="49" t="n"/>
      <c r="B14" s="27" t="n"/>
      <c r="C14" s="27" t="n"/>
      <c r="D14" s="27" t="n"/>
      <c r="E14" s="27" t="n"/>
      <c r="F14" s="27" t="n"/>
      <c r="G14" s="27" t="n"/>
      <c r="H14" s="49" t="n"/>
      <c r="I14" s="49" t="n"/>
      <c r="J14" s="27" t="n"/>
      <c r="K14" s="50" t="n"/>
      <c r="L14" s="50" t="n"/>
      <c r="M14" s="49" t="n"/>
      <c r="N14" s="27" t="n"/>
      <c r="O14" s="51" t="str">
        <f>IF(OR(tblObjectives[[#This Row],[ID]]="",tblObjectives[[#This Row],[Target Date]]=""),"",tblObjectives[[#This Row],[Target Date]]-AsOf)</f>
        <v/>
      </c>
      <c r="P14" s="51" t="str">
        <f>IF(tblObjectives[[#This Row],[ID]]="","",COUNTIFS(tblMilestones[Objective ID],tblObjectives[[#This Row],[ID]]))</f>
        <v/>
      </c>
      <c r="Q14" s="51" t="str">
        <f>IF(tblObjectives[[#This Row],[ID]]="","",COUNTIFS(tblMilestones[Objective ID],tblObjectives[[#This Row],[ID]],tblMilestones[Status],"Complete"))</f>
        <v/>
      </c>
      <c r="R14" s="52" t="str">
        <f>IF(OR(tblObjectives[[#This Row],[ID]]="",tblObjectives[[#This Row],[Milestones]]=0),"",tblObjectives[[#This Row],[Milestones Complete]]/tblObjectives[[#This Row],[Milestones]])</f>
        <v/>
      </c>
      <c r="S14" s="51" t="str">
        <f>IF(tblObjectives[[#This Row],[ID]]="","",COUNTIFS(tblMilestones[Objective ID],tblObjectives[[#This Row],[ID]],tblMilestones[Schedule Flag],"Overdue"))</f>
        <v/>
      </c>
      <c r="T14" s="51" t="str">
        <f>IF(tblObjectives[[#This Row],[ID]]="","",COUNTIFS(tblRisks[Objective ID],tblObjectives[[#This Row],[ID]],tblRisks[Rating],"High",tblRisks[Status],"&lt;&gt;Closed"))</f>
        <v/>
      </c>
      <c r="U14" s="53" t="str">
        <f>IF(tblObjectives[[#This Row],[ID]]="","",IFERROR(INDEX(tblQuarterly[Status],MATCH("Q4|"&amp;tblObjectives[[#This Row],[ID]],tblQuarterly[Key],0)),IFERROR(INDEX(tblQuarterly[Status],MATCH("Q3|"&amp;tblObjectives[[#This Row],[ID]],tblQuarterly[Key],0)),IFERROR(INDEX(tblQuarterly[Status],MATCH("Q2|"&amp;tblObjectives[[#This Row],[ID]],tblQuarterly[Key],0)),IFERROR(INDEX(tblQuarterly[Status],MATCH("Q1|"&amp;tblObjectives[[#This Row],[ID]],tblQuarterly[Key],0)),"")))))</f>
        <v/>
      </c>
    </row>
    <row r="15">
      <c r="A15" s="49" t="n"/>
      <c r="B15" s="27" t="n"/>
      <c r="C15" s="27" t="n"/>
      <c r="D15" s="27" t="n"/>
      <c r="E15" s="27" t="n"/>
      <c r="F15" s="27" t="n"/>
      <c r="G15" s="27" t="n"/>
      <c r="H15" s="49" t="n"/>
      <c r="I15" s="49" t="n"/>
      <c r="J15" s="27" t="n"/>
      <c r="K15" s="50" t="n"/>
      <c r="L15" s="50" t="n"/>
      <c r="M15" s="49" t="n"/>
      <c r="N15" s="27" t="n"/>
      <c r="O15" s="51" t="str">
        <f>IF(OR(tblObjectives[[#This Row],[ID]]="",tblObjectives[[#This Row],[Target Date]]=""),"",tblObjectives[[#This Row],[Target Date]]-AsOf)</f>
        <v/>
      </c>
      <c r="P15" s="51" t="str">
        <f>IF(tblObjectives[[#This Row],[ID]]="","",COUNTIFS(tblMilestones[Objective ID],tblObjectives[[#This Row],[ID]]))</f>
        <v/>
      </c>
      <c r="Q15" s="51" t="str">
        <f>IF(tblObjectives[[#This Row],[ID]]="","",COUNTIFS(tblMilestones[Objective ID],tblObjectives[[#This Row],[ID]],tblMilestones[Status],"Complete"))</f>
        <v/>
      </c>
      <c r="R15" s="52" t="str">
        <f>IF(OR(tblObjectives[[#This Row],[ID]]="",tblObjectives[[#This Row],[Milestones]]=0),"",tblObjectives[[#This Row],[Milestones Complete]]/tblObjectives[[#This Row],[Milestones]])</f>
        <v/>
      </c>
      <c r="S15" s="51" t="str">
        <f>IF(tblObjectives[[#This Row],[ID]]="","",COUNTIFS(tblMilestones[Objective ID],tblObjectives[[#This Row],[ID]],tblMilestones[Schedule Flag],"Overdue"))</f>
        <v/>
      </c>
      <c r="T15" s="51" t="str">
        <f>IF(tblObjectives[[#This Row],[ID]]="","",COUNTIFS(tblRisks[Objective ID],tblObjectives[[#This Row],[ID]],tblRisks[Rating],"High",tblRisks[Status],"&lt;&gt;Closed"))</f>
        <v/>
      </c>
      <c r="U15" s="53" t="str">
        <f>IF(tblObjectives[[#This Row],[ID]]="","",IFERROR(INDEX(tblQuarterly[Status],MATCH("Q4|"&amp;tblObjectives[[#This Row],[ID]],tblQuarterly[Key],0)),IFERROR(INDEX(tblQuarterly[Status],MATCH("Q3|"&amp;tblObjectives[[#This Row],[ID]],tblQuarterly[Key],0)),IFERROR(INDEX(tblQuarterly[Status],MATCH("Q2|"&amp;tblObjectives[[#This Row],[ID]],tblQuarterly[Key],0)),IFERROR(INDEX(tblQuarterly[Status],MATCH("Q1|"&amp;tblObjectives[[#This Row],[ID]],tblQuarterly[Key],0)),"")))))</f>
        <v/>
      </c>
    </row>
    <row r="16">
      <c r="A16" s="49" t="n"/>
      <c r="B16" s="27" t="n"/>
      <c r="C16" s="27" t="n"/>
      <c r="D16" s="27" t="n"/>
      <c r="E16" s="27" t="n"/>
      <c r="F16" s="27" t="n"/>
      <c r="G16" s="27" t="n"/>
      <c r="H16" s="49" t="n"/>
      <c r="I16" s="49" t="n"/>
      <c r="J16" s="27" t="n"/>
      <c r="K16" s="50" t="n"/>
      <c r="L16" s="50" t="n"/>
      <c r="M16" s="49" t="n"/>
      <c r="N16" s="27" t="n"/>
      <c r="O16" s="51" t="str">
        <f>IF(OR(tblObjectives[[#This Row],[ID]]="",tblObjectives[[#This Row],[Target Date]]=""),"",tblObjectives[[#This Row],[Target Date]]-AsOf)</f>
        <v/>
      </c>
      <c r="P16" s="51" t="str">
        <f>IF(tblObjectives[[#This Row],[ID]]="","",COUNTIFS(tblMilestones[Objective ID],tblObjectives[[#This Row],[ID]]))</f>
        <v/>
      </c>
      <c r="Q16" s="51" t="str">
        <f>IF(tblObjectives[[#This Row],[ID]]="","",COUNTIFS(tblMilestones[Objective ID],tblObjectives[[#This Row],[ID]],tblMilestones[Status],"Complete"))</f>
        <v/>
      </c>
      <c r="R16" s="52" t="str">
        <f>IF(OR(tblObjectives[[#This Row],[ID]]="",tblObjectives[[#This Row],[Milestones]]=0),"",tblObjectives[[#This Row],[Milestones Complete]]/tblObjectives[[#This Row],[Milestones]])</f>
        <v/>
      </c>
      <c r="S16" s="51" t="str">
        <f>IF(tblObjectives[[#This Row],[ID]]="","",COUNTIFS(tblMilestones[Objective ID],tblObjectives[[#This Row],[ID]],tblMilestones[Schedule Flag],"Overdue"))</f>
        <v/>
      </c>
      <c r="T16" s="51" t="str">
        <f>IF(tblObjectives[[#This Row],[ID]]="","",COUNTIFS(tblRisks[Objective ID],tblObjectives[[#This Row],[ID]],tblRisks[Rating],"High",tblRisks[Status],"&lt;&gt;Closed"))</f>
        <v/>
      </c>
      <c r="U16" s="53" t="str">
        <f>IF(tblObjectives[[#This Row],[ID]]="","",IFERROR(INDEX(tblQuarterly[Status],MATCH("Q4|"&amp;tblObjectives[[#This Row],[ID]],tblQuarterly[Key],0)),IFERROR(INDEX(tblQuarterly[Status],MATCH("Q3|"&amp;tblObjectives[[#This Row],[ID]],tblQuarterly[Key],0)),IFERROR(INDEX(tblQuarterly[Status],MATCH("Q2|"&amp;tblObjectives[[#This Row],[ID]],tblQuarterly[Key],0)),IFERROR(INDEX(tblQuarterly[Status],MATCH("Q1|"&amp;tblObjectives[[#This Row],[ID]],tblQuarterly[Key],0)),"")))))</f>
        <v/>
      </c>
    </row>
    <row r="17">
      <c r="A17" s="49" t="n"/>
      <c r="B17" s="27" t="n"/>
      <c r="C17" s="27" t="n"/>
      <c r="D17" s="27" t="n"/>
      <c r="E17" s="27" t="n"/>
      <c r="F17" s="27" t="n"/>
      <c r="G17" s="27" t="n"/>
      <c r="H17" s="49" t="n"/>
      <c r="I17" s="49" t="n"/>
      <c r="J17" s="27" t="n"/>
      <c r="K17" s="50" t="n"/>
      <c r="L17" s="50" t="n"/>
      <c r="M17" s="49" t="n"/>
      <c r="N17" s="27" t="n"/>
      <c r="O17" s="51" t="str">
        <f>IF(OR(tblObjectives[[#This Row],[ID]]="",tblObjectives[[#This Row],[Target Date]]=""),"",tblObjectives[[#This Row],[Target Date]]-AsOf)</f>
        <v/>
      </c>
      <c r="P17" s="51" t="str">
        <f>IF(tblObjectives[[#This Row],[ID]]="","",COUNTIFS(tblMilestones[Objective ID],tblObjectives[[#This Row],[ID]]))</f>
        <v/>
      </c>
      <c r="Q17" s="51" t="str">
        <f>IF(tblObjectives[[#This Row],[ID]]="","",COUNTIFS(tblMilestones[Objective ID],tblObjectives[[#This Row],[ID]],tblMilestones[Status],"Complete"))</f>
        <v/>
      </c>
      <c r="R17" s="52" t="str">
        <f>IF(OR(tblObjectives[[#This Row],[ID]]="",tblObjectives[[#This Row],[Milestones]]=0),"",tblObjectives[[#This Row],[Milestones Complete]]/tblObjectives[[#This Row],[Milestones]])</f>
        <v/>
      </c>
      <c r="S17" s="51" t="str">
        <f>IF(tblObjectives[[#This Row],[ID]]="","",COUNTIFS(tblMilestones[Objective ID],tblObjectives[[#This Row],[ID]],tblMilestones[Schedule Flag],"Overdue"))</f>
        <v/>
      </c>
      <c r="T17" s="51" t="str">
        <f>IF(tblObjectives[[#This Row],[ID]]="","",COUNTIFS(tblRisks[Objective ID],tblObjectives[[#This Row],[ID]],tblRisks[Rating],"High",tblRisks[Status],"&lt;&gt;Closed"))</f>
        <v/>
      </c>
      <c r="U17" s="53" t="str">
        <f>IF(tblObjectives[[#This Row],[ID]]="","",IFERROR(INDEX(tblQuarterly[Status],MATCH("Q4|"&amp;tblObjectives[[#This Row],[ID]],tblQuarterly[Key],0)),IFERROR(INDEX(tblQuarterly[Status],MATCH("Q3|"&amp;tblObjectives[[#This Row],[ID]],tblQuarterly[Key],0)),IFERROR(INDEX(tblQuarterly[Status],MATCH("Q2|"&amp;tblObjectives[[#This Row],[ID]],tblQuarterly[Key],0)),IFERROR(INDEX(tblQuarterly[Status],MATCH("Q1|"&amp;tblObjectives[[#This Row],[ID]],tblQuarterly[Key],0)),"")))))</f>
        <v/>
      </c>
    </row>
  </sheetData>
  <conditionalFormatting sqref="M6:M17">
    <cfRule type="cellIs" priority="1" operator="equal" dxfId="1">
      <formula>"On Track"</formula>
    </cfRule>
    <cfRule type="cellIs" priority="2" operator="equal" dxfId="2">
      <formula>"Complete"</formula>
    </cfRule>
    <cfRule type="cellIs" priority="3" operator="equal" dxfId="3">
      <formula>"At Risk"</formula>
    </cfRule>
    <cfRule type="cellIs" priority="4" operator="equal" dxfId="4">
      <formula>"Off Track"</formula>
    </cfRule>
    <cfRule type="cellIs" priority="5" operator="equal" dxfId="5">
      <formula>"Not Started"</formula>
    </cfRule>
    <cfRule type="cellIs" priority="6" operator="equal" dxfId="6">
      <formula>"Deferred"</formula>
    </cfRule>
  </conditionalFormatting>
  <conditionalFormatting sqref="U6:U17">
    <cfRule type="cellIs" priority="7" operator="equal" dxfId="1">
      <formula>"On Track"</formula>
    </cfRule>
    <cfRule type="cellIs" priority="8" operator="equal" dxfId="2">
      <formula>"Complete"</formula>
    </cfRule>
    <cfRule type="cellIs" priority="9" operator="equal" dxfId="3">
      <formula>"At Risk"</formula>
    </cfRule>
    <cfRule type="cellIs" priority="10" operator="equal" dxfId="4">
      <formula>"Off Track"</formula>
    </cfRule>
    <cfRule type="cellIs" priority="11" operator="equal" dxfId="5">
      <formula>"Not Started"</formula>
    </cfRule>
    <cfRule type="cellIs" priority="12" operator="equal" dxfId="6">
      <formula>"Deferred"</formula>
    </cfRule>
  </conditionalFormatting>
  <conditionalFormatting sqref="S6:S17">
    <cfRule type="cellIs" priority="13" operator="greaterThan" dxfId="4">
      <formula>0</formula>
    </cfRule>
  </conditionalFormatting>
  <conditionalFormatting sqref="T6:T17">
    <cfRule type="cellIs" priority="14" operator="greaterThan" dxfId="3">
      <formula>0</formula>
    </cfRule>
  </conditionalFormatting>
  <dataValidations count="5">
    <dataValidation sqref="C6:C17" showDropDown="0" showInputMessage="0" showErrorMessage="1" allowBlank="1" errorTitle="Choose from the list" error="Pick a value from the dropdown. Edit the lists on the Lists sheet." type="list" errorStyle="stop">
      <formula1>=lstObjType</formula1>
    </dataValidation>
    <dataValidation sqref="I6:I17" showDropDown="0" showInputMessage="0" showErrorMessage="1" allowBlank="1" errorTitle="Name not on the People list" error="This name is not on the People list on the Lists sheet. Add it there, or continue to keep what you typed." type="list" errorStyle="warning">
      <formula1>=lstPeople</formula1>
    </dataValidation>
    <dataValidation sqref="K6:K17" showDropDown="0" showInputMessage="0" showErrorMessage="1" allowBlank="1" errorTitle="Enter a date" error="Enter a valid date, for example 4/15/2027." type="date" errorStyle="stop" operator="greaterThanOrEqual">
      <formula1>36526</formula1>
    </dataValidation>
    <dataValidation sqref="L6:L17" showDropDown="0" showInputMessage="0" showErrorMessage="1" allowBlank="1" errorTitle="Enter a date" error="Enter a valid date, for example 4/15/2027." type="date" errorStyle="stop" operator="greaterThanOrEqual">
      <formula1>36526</formula1>
    </dataValidation>
    <dataValidation sqref="M6:M17" showDropDown="0" showInputMessage="0" showErrorMessage="1" allowBlank="1" errorTitle="Choose from the list" error="Pick a value from the dropdown. Edit the lists on the Lists sheet." type="list" errorStyle="stop">
      <formula1>=lstObjStatus</formula1>
    </dataValidation>
  </dataValidations>
  <pageMargins left="0.5" right="0.5" top="1" bottom="1" header="0.5" footer="0.5"/>
  <pageSetup orientation="landscape" fitToHeight="0" fitToWidth="1"/>
  <headerFooter>
    <oddHeader/>
    <oddFooter>&amp;L&amp;8 Intergov Association | Strategic Plan Tracker&amp;R&amp;8 &amp;A | Page &amp;P of &amp;N</oddFooter>
    <evenHeader/>
    <evenFooter/>
    <firstHeader/>
    <firstFooter/>
  </headerFooter>
  <tableParts count="1">
    <tablePart xmlns:r="http://schemas.openxmlformats.org/officeDocument/2006/relationships" r:id="rId1"/>
  </tableParts>
</worksheet>
</file>

<file path=xl/worksheets/sheet4.xml><?xml version="1.0" encoding="utf-8"?>
<worksheet xmlns="http://schemas.openxmlformats.org/spreadsheetml/2006/main">
  <sheetPr>
    <tabColor rgb="00192E43"/>
    <outlinePr summaryBelow="1" summaryRight="1"/>
    <pageSetUpPr fitToPage="1"/>
  </sheetPr>
  <dimension ref="A1:S29"/>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9" customWidth="1" min="1" max="1"/>
    <col width="30" customWidth="1" min="2" max="2"/>
    <col width="12" customWidth="1" min="3" max="3"/>
    <col width="22" customWidth="1" min="4" max="4"/>
    <col width="24" customWidth="1" min="5" max="5"/>
    <col width="16" customWidth="1" min="6" max="6"/>
    <col width="16" customWidth="1" min="7" max="7"/>
    <col width="11" customWidth="1" min="8" max="8"/>
    <col width="12" customWidth="1" min="9" max="9"/>
    <col width="38" customWidth="1" min="10" max="10"/>
    <col width="38" customWidth="1" min="11" max="11"/>
    <col width="11" customWidth="1" min="12" max="12"/>
    <col width="12" customWidth="1" min="13" max="13"/>
    <col width="40" customWidth="1" min="14" max="14"/>
    <col width="9" customWidth="1" min="15" max="15"/>
    <col width="12" customWidth="1" min="16" max="16"/>
    <col width="10" customWidth="1" min="17" max="17"/>
    <col width="14" customWidth="1" min="18" max="18"/>
    <col width="12" customWidth="1" min="19" max="19"/>
  </cols>
  <sheetData>
    <row r="1">
      <c r="A1" s="46" t="inlineStr">
        <is>
          <t>Priority Governmental Relationships</t>
        </is>
      </c>
    </row>
    <row r="2">
      <c r="A2" s="18" t="inlineStr">
        <is>
          <t>Where relationship effort goes, who owns each relationship, and whether contact is keeping pace with the cadence you set.</t>
        </is>
      </c>
    </row>
    <row r="3">
      <c r="A3" s="33" t="inlineStr">
        <is>
          <t xml:space="preserve">Navy headers: enter data. Slate headers with gray cells: calculated, do not overwrite. </t>
        </is>
      </c>
    </row>
    <row r="5" ht="34" customHeight="1">
      <c r="A5" s="47" t="inlineStr">
        <is>
          <t>ID</t>
        </is>
      </c>
      <c r="B5" s="47" t="inlineStr">
        <is>
          <t>Government or Institution</t>
        </is>
      </c>
      <c r="C5" s="47" t="inlineStr">
        <is>
          <t>Level</t>
        </is>
      </c>
      <c r="D5" s="47" t="inlineStr">
        <is>
          <t>Key Contact</t>
        </is>
      </c>
      <c r="E5" s="47" t="inlineStr">
        <is>
          <t>Contact Title</t>
        </is>
      </c>
      <c r="F5" s="47" t="inlineStr">
        <is>
          <t>Our Lead</t>
        </is>
      </c>
      <c r="G5" s="47" t="inlineStr">
        <is>
          <t>Tier</t>
        </is>
      </c>
      <c r="H5" s="47" t="inlineStr">
        <is>
          <t>Posture</t>
        </is>
      </c>
      <c r="I5" s="47" t="inlineStr">
        <is>
          <t>Relationship Health</t>
        </is>
      </c>
      <c r="J5" s="47" t="inlineStr">
        <is>
          <t>What They Need From Us</t>
        </is>
      </c>
      <c r="K5" s="47" t="inlineStr">
        <is>
          <t>What We Need From Them</t>
        </is>
      </c>
      <c r="L5" s="47" t="inlineStr">
        <is>
          <t>Objective ID</t>
        </is>
      </c>
      <c r="M5" s="47" t="inlineStr">
        <is>
          <t>Cadence</t>
        </is>
      </c>
      <c r="N5" s="47" t="inlineStr">
        <is>
          <t>Notes</t>
        </is>
      </c>
      <c r="O5" s="48" t="inlineStr">
        <is>
          <t>Cadence Days</t>
        </is>
      </c>
      <c r="P5" s="48" t="inlineStr">
        <is>
          <t>Last Contact</t>
        </is>
      </c>
      <c r="Q5" s="48" t="inlineStr">
        <is>
          <t>Days Since Contact</t>
        </is>
      </c>
      <c r="R5" s="48" t="inlineStr">
        <is>
          <t>Contact Status</t>
        </is>
      </c>
      <c r="S5" s="48" t="inlineStr">
        <is>
          <t>Next Planned Contact</t>
        </is>
      </c>
    </row>
    <row r="6">
      <c r="A6" s="49" t="inlineStr">
        <is>
          <t>REL-01</t>
        </is>
      </c>
      <c r="B6" s="27" t="inlineStr">
        <is>
          <t>Office of the County Executive</t>
        </is>
      </c>
      <c r="C6" s="49" t="inlineStr">
        <is>
          <t>County</t>
        </is>
      </c>
      <c r="D6" s="27" t="inlineStr">
        <is>
          <t>Thomas Alder</t>
        </is>
      </c>
      <c r="E6" s="27" t="inlineStr">
        <is>
          <t>County Executive</t>
        </is>
      </c>
      <c r="F6" s="49" t="inlineStr">
        <is>
          <t>Elena Marsh</t>
        </is>
      </c>
      <c r="G6" s="27" t="inlineStr">
        <is>
          <t>Tier 1 Strategic</t>
        </is>
      </c>
      <c r="H6" s="49" t="inlineStr">
        <is>
          <t>Aligned</t>
        </is>
      </c>
      <c r="I6" s="49" t="inlineStr">
        <is>
          <t>Strong</t>
        </is>
      </c>
      <c r="J6" s="27" t="inlineStr">
        <is>
          <t>Early warning on anything that commits the County publicly; a single weekly view of pending decisions</t>
        </is>
      </c>
      <c r="K6" s="27" t="inlineStr">
        <is>
          <t>Timely decisions on escalations; signature on outreach to other governments</t>
        </is>
      </c>
      <c r="L6" s="49" t="inlineStr">
        <is>
          <t>OBJ-6</t>
        </is>
      </c>
      <c r="M6" s="49" t="inlineStr">
        <is>
          <t>Weekly</t>
        </is>
      </c>
      <c r="N6" s="27" t="inlineStr">
        <is>
          <t>Deputy County Executive Priya Raman is the day-to-day contact and plan executive sponsor.</t>
        </is>
      </c>
      <c r="O6" s="51">
        <f>IF(tblRelationships[[#This Row],[Cadence]]="","",IFERROR(INDEX(lstCadenceDays,MATCH(tblRelationships[[#This Row],[Cadence]],lstCadence,0)),""))</f>
        <v>7</v>
      </c>
      <c r="P6" s="54">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46482.0</v>
      </c>
      <c r="Q6" s="51">
        <f>IF(tblRelationships[[#This Row],[Last Contact]]="","",AsOf-tblRelationships[[#This Row],[Last Contact]])</f>
        <v>3</v>
      </c>
      <c r="R6" s="53"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Current</v>
      </c>
      <c r="S6" s="54">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46486.0</v>
      </c>
    </row>
    <row r="7">
      <c r="A7" s="49" t="inlineStr">
        <is>
          <t>REL-02</t>
        </is>
      </c>
      <c r="B7" s="27" t="inlineStr">
        <is>
          <t>Board of Commissioners</t>
        </is>
      </c>
      <c r="C7" s="49" t="inlineStr">
        <is>
          <t>County</t>
        </is>
      </c>
      <c r="D7" s="27" t="inlineStr">
        <is>
          <t>Margaret Hollis</t>
        </is>
      </c>
      <c r="E7" s="27" t="inlineStr">
        <is>
          <t>Chair</t>
        </is>
      </c>
      <c r="F7" s="49" t="inlineStr">
        <is>
          <t>Elena Marsh</t>
        </is>
      </c>
      <c r="G7" s="27" t="inlineStr">
        <is>
          <t>Tier 1 Strategic</t>
        </is>
      </c>
      <c r="H7" s="49" t="inlineStr">
        <is>
          <t>Aligned</t>
        </is>
      </c>
      <c r="I7" s="49" t="inlineStr">
        <is>
          <t>Strong</t>
        </is>
      </c>
      <c r="J7" s="27" t="inlineStr">
        <is>
          <t>Predictable briefings before votes; no surprises from other governments</t>
        </is>
      </c>
      <c r="K7" s="27" t="inlineStr">
        <is>
          <t>Adopted legislative platform; discipline on public statements</t>
        </is>
      </c>
      <c r="L7" s="49" t="inlineStr">
        <is>
          <t>OBJ-1</t>
        </is>
      </c>
      <c r="M7" s="49" t="inlineStr">
        <is>
          <t>Monthly</t>
        </is>
      </c>
      <c r="N7" s="27" t="inlineStr">
        <is>
          <t>One commissioner commented publicly on HB 388 in February; resolved through chair briefing.</t>
        </is>
      </c>
      <c r="O7" s="51">
        <f>IF(tblRelationships[[#This Row],[Cadence]]="","",IFERROR(INDEX(lstCadenceDays,MATCH(tblRelationships[[#This Row],[Cadence]],lstCadence,0)),""))</f>
        <v>30</v>
      </c>
      <c r="P7" s="54">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46469.0</v>
      </c>
      <c r="Q7" s="51">
        <f>IF(tblRelationships[[#This Row],[Last Contact]]="","",AsOf-tblRelationships[[#This Row],[Last Contact]])</f>
        <v>16</v>
      </c>
      <c r="R7" s="53"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Current</v>
      </c>
      <c r="S7" s="54">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46504.0</v>
      </c>
    </row>
    <row r="8">
      <c r="A8" s="49" t="inlineStr">
        <is>
          <t>REL-03</t>
        </is>
      </c>
      <c r="B8" s="27" t="inlineStr">
        <is>
          <t>Senate Transportation Committee</t>
        </is>
      </c>
      <c r="C8" s="49" t="inlineStr">
        <is>
          <t>State</t>
        </is>
      </c>
      <c r="D8" s="27" t="inlineStr">
        <is>
          <t>Sen. Carl Dalton</t>
        </is>
      </c>
      <c r="E8" s="27" t="inlineStr">
        <is>
          <t>Chair; prime sponsor of SB 214</t>
        </is>
      </c>
      <c r="F8" s="49" t="inlineStr">
        <is>
          <t>Jordan Pike</t>
        </is>
      </c>
      <c r="G8" s="27" t="inlineStr">
        <is>
          <t>Tier 1 Strategic</t>
        </is>
      </c>
      <c r="H8" s="49" t="inlineStr">
        <is>
          <t>Aligned</t>
        </is>
      </c>
      <c r="I8" s="49" t="inlineStr">
        <is>
          <t>Strong</t>
        </is>
      </c>
      <c r="J8" s="27" t="inlineStr">
        <is>
          <t>Credible local data; a clear coalition count before votes</t>
        </is>
      </c>
      <c r="K8" s="27" t="inlineStr">
        <is>
          <t>Hearing time for SB 214; fair treatment of HB 388 amendments in the Senate</t>
        </is>
      </c>
      <c r="L8" s="49" t="inlineStr">
        <is>
          <t>OBJ-1</t>
        </is>
      </c>
      <c r="M8" s="49" t="inlineStr">
        <is>
          <t>Biweekly</t>
        </is>
      </c>
      <c r="N8" s="27" t="inlineStr">
        <is>
          <t>Also chairs the committee that will hear HB 388 in the second chamber.</t>
        </is>
      </c>
      <c r="O8" s="51">
        <f>IF(tblRelationships[[#This Row],[Cadence]]="","",IFERROR(INDEX(lstCadenceDays,MATCH(tblRelationships[[#This Row],[Cadence]],lstCadence,0)),""))</f>
        <v>14</v>
      </c>
      <c r="P8" s="54">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46478.0</v>
      </c>
      <c r="Q8" s="51">
        <f>IF(tblRelationships[[#This Row],[Last Contact]]="","",AsOf-tblRelationships[[#This Row],[Last Contact]])</f>
        <v>7</v>
      </c>
      <c r="R8" s="53"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Current</v>
      </c>
      <c r="S8" s="54">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46493.0</v>
      </c>
    </row>
    <row r="9">
      <c r="A9" s="49" t="inlineStr">
        <is>
          <t>REL-04</t>
        </is>
      </c>
      <c r="B9" s="27" t="inlineStr">
        <is>
          <t>House Local Government and Transportation Committee</t>
        </is>
      </c>
      <c r="C9" s="49" t="inlineStr">
        <is>
          <t>State</t>
        </is>
      </c>
      <c r="D9" s="27" t="inlineStr">
        <is>
          <t>Rep. Denise Okonkwo</t>
        </is>
      </c>
      <c r="E9" s="27" t="inlineStr">
        <is>
          <t>Chair</t>
        </is>
      </c>
      <c r="F9" s="49" t="inlineStr">
        <is>
          <t>Jordan Pike</t>
        </is>
      </c>
      <c r="G9" s="27" t="inlineStr">
        <is>
          <t>Tier 2 Priority</t>
        </is>
      </c>
      <c r="H9" s="49" t="inlineStr">
        <is>
          <t>Mixed</t>
        </is>
      </c>
      <c r="I9" s="49" t="inlineStr">
        <is>
          <t>Working</t>
        </is>
      </c>
      <c r="J9" s="27" t="inlineStr">
        <is>
          <t>Evidence that local-option authority will not trigger statewide demands for a revenue share</t>
        </is>
      </c>
      <c r="K9" s="27" t="inlineStr">
        <is>
          <t>Hearing and vote on SB 214 on Apr 14</t>
        </is>
      </c>
      <c r="L9" s="49" t="inlineStr">
        <is>
          <t>OBJ-1</t>
        </is>
      </c>
      <c r="M9" s="49" t="inlineStr">
        <is>
          <t>Monthly</t>
        </is>
      </c>
      <c r="N9" s="27" t="inlineStr">
        <is>
          <t>House sponsor of HB 388 is Rep. Wesley Ames; he intends to restore uniformity language in the Senate.</t>
        </is>
      </c>
      <c r="O9" s="51">
        <f>IF(tblRelationships[[#This Row],[Cadence]]="","",IFERROR(INDEX(lstCadenceDays,MATCH(tblRelationships[[#This Row],[Cadence]],lstCadence,0)),""))</f>
        <v>30</v>
      </c>
      <c r="P9" s="54">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46483.0</v>
      </c>
      <c r="Q9" s="51">
        <f>IF(tblRelationships[[#This Row],[Last Contact]]="","",AsOf-tblRelationships[[#This Row],[Last Contact]])</f>
        <v>2</v>
      </c>
      <c r="R9" s="53"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Current</v>
      </c>
      <c r="S9" s="54">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46491.0</v>
      </c>
    </row>
    <row r="10">
      <c r="A10" s="49" t="inlineStr">
        <is>
          <t>REL-05</t>
        </is>
      </c>
      <c r="B10" s="27" t="inlineStr">
        <is>
          <t>Marlow Department of Transportation (State DOT)</t>
        </is>
      </c>
      <c r="C10" s="49" t="inlineStr">
        <is>
          <t>State</t>
        </is>
      </c>
      <c r="D10" s="27" t="inlineStr">
        <is>
          <t>Marcus Bell</t>
        </is>
      </c>
      <c r="E10" s="27" t="inlineStr">
        <is>
          <t>Deputy Secretary for Local Programs</t>
        </is>
      </c>
      <c r="F10" s="49" t="inlineStr">
        <is>
          <t>Samuel Ortega</t>
        </is>
      </c>
      <c r="G10" s="27" t="inlineStr">
        <is>
          <t>Tier 1 Strategic</t>
        </is>
      </c>
      <c r="H10" s="49" t="inlineStr">
        <is>
          <t>Aligned</t>
        </is>
      </c>
      <c r="I10" s="49" t="inlineStr">
        <is>
          <t>Working</t>
        </is>
      </c>
      <c r="J10" s="27" t="inlineStr">
        <is>
          <t>An executed local agreement and a formal match request before it commits funds</t>
        </is>
      </c>
      <c r="K10" s="27" t="inlineStr">
        <is>
          <t>Written match commitment before the federal application is finalized</t>
        </is>
      </c>
      <c r="L10" s="49" t="inlineStr">
        <is>
          <t>OBJ-3</t>
        </is>
      </c>
      <c r="M10" s="49" t="inlineStr">
        <is>
          <t>Monthly</t>
        </is>
      </c>
      <c r="N10" s="27" t="inlineStr">
        <is>
          <t>Staff estimate roughly eight weeks for internal sign-off; this is staff's view, not published policy.</t>
        </is>
      </c>
      <c r="O10" s="51">
        <f>IF(tblRelationships[[#This Row],[Cadence]]="","",IFERROR(INDEX(lstCadenceDays,MATCH(tblRelationships[[#This Row],[Cadence]],lstCadence,0)),""))</f>
        <v>30</v>
      </c>
      <c r="P10" s="54">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46454.0</v>
      </c>
      <c r="Q10" s="51">
        <f>IF(tblRelationships[[#This Row],[Last Contact]]="","",AsOf-tblRelationships[[#This Row],[Last Contact]])</f>
        <v>31</v>
      </c>
      <c r="R10" s="53"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Overdue</v>
      </c>
      <c r="S10" s="54">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46493.0</v>
      </c>
    </row>
    <row r="11">
      <c r="A11" s="49" t="inlineStr">
        <is>
          <t>REL-06</t>
        </is>
      </c>
      <c r="B11" s="27" t="inlineStr">
        <is>
          <t>Riverton City</t>
        </is>
      </c>
      <c r="C11" s="49" t="inlineStr">
        <is>
          <t>Municipal</t>
        </is>
      </c>
      <c r="D11" s="27" t="inlineStr">
        <is>
          <t>Helen Voss</t>
        </is>
      </c>
      <c r="E11" s="27" t="inlineStr">
        <is>
          <t>City Manager</t>
        </is>
      </c>
      <c r="F11" s="49" t="inlineStr">
        <is>
          <t>Alicia Brandt</t>
        </is>
      </c>
      <c r="G11" s="27" t="inlineStr">
        <is>
          <t>Tier 1 Strategic</t>
        </is>
      </c>
      <c r="H11" s="49" t="inlineStr">
        <is>
          <t>Mixed</t>
        </is>
      </c>
      <c r="I11" s="49" t="inlineStr">
        <is>
          <t>Working</t>
        </is>
      </c>
      <c r="J11" s="27" t="inlineStr">
        <is>
          <t>A usage-based cost allocation and a share of local-option revenue for city streets</t>
        </is>
      </c>
      <c r="K11" s="27" t="inlineStr">
        <is>
          <t>Agreement on cost allocation; matching commitment from the City Council</t>
        </is>
      </c>
      <c r="L11" s="49" t="inlineStr">
        <is>
          <t>OBJ-4</t>
        </is>
      </c>
      <c r="M11" s="49" t="inlineStr">
        <is>
          <t>Biweekly</t>
        </is>
      </c>
      <c r="N11" s="27" t="inlineStr">
        <is>
          <t>Aligned with the County on HB 388. Divergent on cost allocation. City election in Nov 2027.</t>
        </is>
      </c>
      <c r="O11" s="51">
        <f>IF(tblRelationships[[#This Row],[Cadence]]="","",IFERROR(INDEX(lstCadenceDays,MATCH(tblRelationships[[#This Row],[Cadence]],lstCadence,0)),""))</f>
        <v>14</v>
      </c>
      <c r="P11" s="54">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46478.0</v>
      </c>
      <c r="Q11" s="51">
        <f>IF(tblRelationships[[#This Row],[Last Contact]]="","",AsOf-tblRelationships[[#This Row],[Last Contact]])</f>
        <v>7</v>
      </c>
      <c r="R11" s="53"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Current</v>
      </c>
      <c r="S11" s="54"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12">
      <c r="A12" s="49" t="inlineStr">
        <is>
          <t>REL-07</t>
        </is>
      </c>
      <c r="B12" s="27" t="inlineStr">
        <is>
          <t>River Valley Transit Authority</t>
        </is>
      </c>
      <c r="C12" s="49" t="inlineStr">
        <is>
          <t>Regional</t>
        </is>
      </c>
      <c r="D12" s="27" t="inlineStr">
        <is>
          <t>Paul Mendez</t>
        </is>
      </c>
      <c r="E12" s="27" t="inlineStr">
        <is>
          <t>Executive Director</t>
        </is>
      </c>
      <c r="F12" s="49" t="inlineStr">
        <is>
          <t>Alicia Brandt</t>
        </is>
      </c>
      <c r="G12" s="27" t="inlineStr">
        <is>
          <t>Tier 2 Priority</t>
        </is>
      </c>
      <c r="H12" s="49" t="inlineStr">
        <is>
          <t>Aligned</t>
        </is>
      </c>
      <c r="I12" s="49" t="inlineStr">
        <is>
          <t>Working</t>
        </is>
      </c>
      <c r="J12" s="27" t="inlineStr">
        <is>
          <t>A dedicated transit lane in the design basis</t>
        </is>
      </c>
      <c r="K12" s="27" t="inlineStr">
        <is>
          <t>Support for the County on cost allocation; governing board approval of the agreement</t>
        </is>
      </c>
      <c r="L12" s="49" t="inlineStr">
        <is>
          <t>OBJ-4</t>
        </is>
      </c>
      <c r="M12" s="49" t="inlineStr">
        <is>
          <t>Monthly</t>
        </is>
      </c>
      <c r="N12" s="27" t="inlineStr">
        <is>
          <t>Will support the County's allocation position if the transit lane is in the design basis.</t>
        </is>
      </c>
      <c r="O12" s="51">
        <f>IF(tblRelationships[[#This Row],[Cadence]]="","",IFERROR(INDEX(lstCadenceDays,MATCH(tblRelationships[[#This Row],[Cadence]],lstCadence,0)),""))</f>
        <v>30</v>
      </c>
      <c r="P12" s="54">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46449.0</v>
      </c>
      <c r="Q12" s="51">
        <f>IF(tblRelationships[[#This Row],[Last Contact]]="","",AsOf-tblRelationships[[#This Row],[Last Contact]])</f>
        <v>36</v>
      </c>
      <c r="R12" s="53"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Overdue</v>
      </c>
      <c r="S12" s="54">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46505.0</v>
      </c>
    </row>
    <row r="13">
      <c r="A13" s="49" t="inlineStr">
        <is>
          <t>REL-08</t>
        </is>
      </c>
      <c r="B13" s="27" t="inlineStr">
        <is>
          <t>Three Fords Tribal Nation</t>
        </is>
      </c>
      <c r="C13" s="49" t="inlineStr">
        <is>
          <t>Tribal</t>
        </is>
      </c>
      <c r="D13" s="27" t="inlineStr">
        <is>
          <t>Chairperson's Office; Director, Cultural Resources Department (names to be confirmed)</t>
        </is>
      </c>
      <c r="E13" s="27" t="inlineStr">
        <is>
          <t>Tribal government</t>
        </is>
      </c>
      <c r="F13" s="49" t="inlineStr">
        <is>
          <t>Elena Marsh</t>
        </is>
      </c>
      <c r="G13" s="27" t="inlineStr">
        <is>
          <t>Tier 1 Strategic</t>
        </is>
      </c>
      <c r="H13" s="49" t="inlineStr">
        <is>
          <t>Unknown</t>
        </is>
      </c>
      <c r="I13" s="49" t="inlineStr">
        <is>
          <t>New</t>
        </is>
      </c>
      <c r="J13" s="27" t="inlineStr">
        <is>
          <t>A written invitation from the County Executive; respect for the Nation's own consultation channels; early notice of corridor decisions</t>
        </is>
      </c>
      <c r="K13" s="27" t="inlineStr">
        <is>
          <t>A working channel and documented concerns about the east-bank corridor before the application is finalized</t>
        </is>
      </c>
      <c r="L13" s="49" t="inlineStr">
        <is>
          <t>OBJ-5</t>
        </is>
      </c>
      <c r="M13" s="49" t="inlineStr">
        <is>
          <t>Monthly</t>
        </is>
      </c>
      <c r="N13" s="27" t="inlineStr">
        <is>
          <t>Federal consultation duties rest with the federal lead agency. County engagement runs in parallel and does not substitute for it.</t>
        </is>
      </c>
      <c r="O13" s="51">
        <f>IF(tblRelationships[[#This Row],[Cadence]]="","",IFERROR(INDEX(lstCadenceDays,MATCH(tblRelationships[[#This Row],[Cadence]],lstCadence,0)),""))</f>
        <v>30</v>
      </c>
      <c r="P13" s="54">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46428.0</v>
      </c>
      <c r="Q13" s="51">
        <f>IF(tblRelationships[[#This Row],[Last Contact]]="","",AsOf-tblRelationships[[#This Row],[Last Contact]])</f>
        <v>57</v>
      </c>
      <c r="R13" s="53"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Overdue</v>
      </c>
      <c r="S13" s="54">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46528.0</v>
      </c>
    </row>
    <row r="14">
      <c r="A14" s="49" t="inlineStr">
        <is>
          <t>REL-09</t>
        </is>
      </c>
      <c r="B14" s="27" t="inlineStr">
        <is>
          <t>Federal regional office, funding agency</t>
        </is>
      </c>
      <c r="C14" s="49" t="inlineStr">
        <is>
          <t>Federal</t>
        </is>
      </c>
      <c r="D14" s="27" t="inlineStr">
        <is>
          <t>Dana Whitfield</t>
        </is>
      </c>
      <c r="E14" s="27" t="inlineStr">
        <is>
          <t>Program Manager</t>
        </is>
      </c>
      <c r="F14" s="49" t="inlineStr">
        <is>
          <t>Samuel Ortega</t>
        </is>
      </c>
      <c r="G14" s="27" t="inlineStr">
        <is>
          <t>Tier 2 Priority</t>
        </is>
      </c>
      <c r="H14" s="49" t="inlineStr">
        <is>
          <t>Unknown</t>
        </is>
      </c>
      <c r="I14" s="49" t="inlineStr">
        <is>
          <t>New</t>
        </is>
      </c>
      <c r="J14" s="27" t="inlineStr">
        <is>
          <t>Complete applications with committed match and a clear regional benefit case</t>
        </is>
      </c>
      <c r="K14" s="27" t="inlineStr">
        <is>
          <t>Early signal on notice timing and match eligibility</t>
        </is>
      </c>
      <c r="L14" s="49" t="inlineStr">
        <is>
          <t>OBJ-3</t>
        </is>
      </c>
      <c r="M14" s="49" t="inlineStr">
        <is>
          <t>Monthly</t>
        </is>
      </c>
      <c r="N14" s="27" t="inlineStr">
        <is>
          <t>Staff will not confirm notice timing. Treat timing as an assumption.</t>
        </is>
      </c>
      <c r="O14" s="51">
        <f>IF(tblRelationships[[#This Row],[Cadence]]="","",IFERROR(INDEX(lstCadenceDays,MATCH(tblRelationships[[#This Row],[Cadence]],lstCadence,0)),""))</f>
        <v>30</v>
      </c>
      <c r="P14" s="54">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46470.0</v>
      </c>
      <c r="Q14" s="51">
        <f>IF(tblRelationships[[#This Row],[Last Contact]]="","",AsOf-tblRelationships[[#This Row],[Last Contact]])</f>
        <v>15</v>
      </c>
      <c r="R14" s="53"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Current</v>
      </c>
      <c r="S14" s="54"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15">
      <c r="A15" s="49" t="inlineStr">
        <is>
          <t>REL-10</t>
        </is>
      </c>
      <c r="B15" s="27" t="inlineStr">
        <is>
          <t>Congressional delegation, district offices</t>
        </is>
      </c>
      <c r="C15" s="49" t="inlineStr">
        <is>
          <t>Federal</t>
        </is>
      </c>
      <c r="D15" s="27" t="inlineStr">
        <is>
          <t>District Director, Office of Rep. Alan Brightwell</t>
        </is>
      </c>
      <c r="E15" s="27" t="inlineStr">
        <is>
          <t>District Director</t>
        </is>
      </c>
      <c r="F15" s="49" t="inlineStr">
        <is>
          <t>Samuel Ortega</t>
        </is>
      </c>
      <c r="G15" s="27" t="inlineStr">
        <is>
          <t>Tier 2 Priority</t>
        </is>
      </c>
      <c r="H15" s="49" t="inlineStr">
        <is>
          <t>Aligned</t>
        </is>
      </c>
      <c r="I15" s="49" t="inlineStr">
        <is>
          <t>Working</t>
        </is>
      </c>
      <c r="J15" s="27" t="inlineStr">
        <is>
          <t>A single, well-documented request with local partner support</t>
        </is>
      </c>
      <c r="K15" s="27" t="inlineStr">
        <is>
          <t>Letters of support; help with agency contact if the notice is delayed</t>
        </is>
      </c>
      <c r="L15" s="49" t="inlineStr">
        <is>
          <t>OBJ-3</t>
        </is>
      </c>
      <c r="M15" s="49" t="inlineStr">
        <is>
          <t>Quarterly</t>
        </is>
      </c>
      <c r="N15" s="27" t="inlineStr">
        <is>
          <t>Harlan County is also seeking letters for its own project.</t>
        </is>
      </c>
      <c r="O15" s="51">
        <f>IF(tblRelationships[[#This Row],[Cadence]]="","",IFERROR(INDEX(lstCadenceDays,MATCH(tblRelationships[[#This Row],[Cadence]],lstCadence,0)),""))</f>
        <v>90</v>
      </c>
      <c r="P15" s="54"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15" s="51" t="str">
        <f>IF(tblRelationships[[#This Row],[Last Contact]]="","",AsOf-tblRelationships[[#This Row],[Last Contact]])</f>
        <v/>
      </c>
      <c r="R15" s="53"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No Contact Logged</v>
      </c>
      <c r="S15" s="54">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46519.0</v>
      </c>
    </row>
    <row r="16">
      <c r="A16" s="49" t="inlineStr">
        <is>
          <t>REL-11</t>
        </is>
      </c>
      <c r="B16" s="27" t="inlineStr">
        <is>
          <t>Harlan County</t>
        </is>
      </c>
      <c r="C16" s="49" t="inlineStr">
        <is>
          <t>County</t>
        </is>
      </c>
      <c r="D16" s="27" t="inlineStr">
        <is>
          <t>Frank Delgado</t>
        </is>
      </c>
      <c r="E16" s="27" t="inlineStr">
        <is>
          <t>County Administrator</t>
        </is>
      </c>
      <c r="F16" s="49" t="inlineStr">
        <is>
          <t>Alicia Brandt</t>
        </is>
      </c>
      <c r="G16" s="27" t="inlineStr">
        <is>
          <t>Tier 2 Priority</t>
        </is>
      </c>
      <c r="H16" s="49" t="inlineStr">
        <is>
          <t>Mixed</t>
        </is>
      </c>
      <c r="I16" s="49" t="inlineStr">
        <is>
          <t>Working</t>
        </is>
      </c>
      <c r="J16" s="27" t="inlineStr">
        <is>
          <t>Assurance that the Calloway River project will not displace its own bridge request</t>
        </is>
      </c>
      <c r="K16" s="27" t="inlineStr">
        <is>
          <t>Coordination so the delegation is not asked to choose between neighboring counties</t>
        </is>
      </c>
      <c r="L16" s="49" t="inlineStr">
        <is>
          <t>OBJ-3</t>
        </is>
      </c>
      <c r="M16" s="49" t="inlineStr">
        <is>
          <t>Monthly</t>
        </is>
      </c>
      <c r="N16" s="27" t="inlineStr">
        <is>
          <t>Aligned with Eastbrook on stormwater. Possible competitor for the same federal round.</t>
        </is>
      </c>
      <c r="O16" s="51">
        <f>IF(tblRelationships[[#This Row],[Cadence]]="","",IFERROR(INDEX(lstCadenceDays,MATCH(tblRelationships[[#This Row],[Cadence]],lstCadence,0)),""))</f>
        <v>30</v>
      </c>
      <c r="P16" s="54"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16" s="51" t="str">
        <f>IF(tblRelationships[[#This Row],[Last Contact]]="","",AsOf-tblRelationships[[#This Row],[Last Contact]])</f>
        <v/>
      </c>
      <c r="R16" s="53"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No Contact Logged</v>
      </c>
      <c r="S16" s="54">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46497.0</v>
      </c>
    </row>
    <row r="17">
      <c r="A17" s="49" t="inlineStr">
        <is>
          <t>REL-12</t>
        </is>
      </c>
      <c r="B17" s="27" t="inlineStr">
        <is>
          <t>Marlow Association of Counties</t>
        </is>
      </c>
      <c r="C17" s="49" t="inlineStr">
        <is>
          <t>State</t>
        </is>
      </c>
      <c r="D17" s="27" t="inlineStr">
        <is>
          <t>Joanne Pruitt</t>
        </is>
      </c>
      <c r="E17" s="27" t="inlineStr">
        <is>
          <t>Executive Director</t>
        </is>
      </c>
      <c r="F17" s="49" t="inlineStr">
        <is>
          <t>Jordan Pike</t>
        </is>
      </c>
      <c r="G17" s="27" t="inlineStr">
        <is>
          <t>Tier 2 Priority</t>
        </is>
      </c>
      <c r="H17" s="49" t="inlineStr">
        <is>
          <t>Aligned</t>
        </is>
      </c>
      <c r="I17" s="49" t="inlineStr">
        <is>
          <t>Strong</t>
        </is>
      </c>
      <c r="J17" s="27" t="inlineStr">
        <is>
          <t>Shared vote counts and member counties' input on amendment language</t>
        </is>
      </c>
      <c r="K17" s="27" t="inlineStr">
        <is>
          <t>Statewide coalition support for the HB 388 amendment and SB 214</t>
        </is>
      </c>
      <c r="L17" s="49" t="inlineStr">
        <is>
          <t>OBJ-2</t>
        </is>
      </c>
      <c r="M17" s="49" t="inlineStr">
        <is>
          <t>Monthly</t>
        </is>
      </c>
      <c r="N17" s="27" t="inlineStr">
        <is>
          <t>Association supports the amendment but has not opposed HB 388 outright.</t>
        </is>
      </c>
      <c r="O17" s="51">
        <f>IF(tblRelationships[[#This Row],[Cadence]]="","",IFERROR(INDEX(lstCadenceDays,MATCH(tblRelationships[[#This Row],[Cadence]],lstCadence,0)),""))</f>
        <v>30</v>
      </c>
      <c r="P17" s="54">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46471.0</v>
      </c>
      <c r="Q17" s="51">
        <f>IF(tblRelationships[[#This Row],[Last Contact]]="","",AsOf-tblRelationships[[#This Row],[Last Contact]])</f>
        <v>14</v>
      </c>
      <c r="R17" s="53"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Current</v>
      </c>
      <c r="S17" s="54">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46490.0</v>
      </c>
    </row>
    <row r="18">
      <c r="A18" s="49" t="inlineStr">
        <is>
          <t>REL-13</t>
        </is>
      </c>
      <c r="B18" s="27" t="inlineStr">
        <is>
          <t>Governor's Office, policy staff</t>
        </is>
      </c>
      <c r="C18" s="49" t="inlineStr">
        <is>
          <t>State</t>
        </is>
      </c>
      <c r="D18" s="27" t="inlineStr">
        <is>
          <t>Policy Advisor, Transportation and Local Government (name to be confirmed)</t>
        </is>
      </c>
      <c r="E18" s="27" t="inlineStr">
        <is>
          <t>Policy advisor</t>
        </is>
      </c>
      <c r="F18" s="49" t="inlineStr">
        <is>
          <t>Elena Marsh</t>
        </is>
      </c>
      <c r="G18" s="27" t="inlineStr">
        <is>
          <t>Tier 2 Priority</t>
        </is>
      </c>
      <c r="H18" s="49" t="inlineStr">
        <is>
          <t>Unknown</t>
        </is>
      </c>
      <c r="I18" s="49" t="inlineStr">
        <is>
          <t>Working</t>
        </is>
      </c>
      <c r="J18" s="27" t="inlineStr">
        <is>
          <t>A one-page summary of SB 214 and its fiscal assumptions</t>
        </is>
      </c>
      <c r="K18" s="27" t="inlineStr">
        <is>
          <t>A signal on signature before the bill reaches the governor</t>
        </is>
      </c>
      <c r="L18" s="49" t="inlineStr">
        <is>
          <t>OBJ-1</t>
        </is>
      </c>
      <c r="M18" s="49" t="inlineStr">
        <is>
          <t>Monthly</t>
        </is>
      </c>
      <c r="N18" s="27" t="inlineStr">
        <is>
          <t>One-page summary requested at the Jan 20 introduction.</t>
        </is>
      </c>
      <c r="O18" s="51">
        <f>IF(tblRelationships[[#This Row],[Cadence]]="","",IFERROR(INDEX(lstCadenceDays,MATCH(tblRelationships[[#This Row],[Cadence]],lstCadence,0)),""))</f>
        <v>30</v>
      </c>
      <c r="P18" s="54">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46407.0</v>
      </c>
      <c r="Q18" s="51">
        <f>IF(tblRelationships[[#This Row],[Last Contact]]="","",AsOf-tblRelationships[[#This Row],[Last Contact]])</f>
        <v>78</v>
      </c>
      <c r="R18" s="53"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Overdue</v>
      </c>
      <c r="S18" s="54">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46499.0</v>
      </c>
    </row>
    <row r="19">
      <c r="A19" s="49" t="inlineStr">
        <is>
          <t>REL-14</t>
        </is>
      </c>
      <c r="B19" s="27" t="inlineStr">
        <is>
          <t>State Revenue Department</t>
        </is>
      </c>
      <c r="C19" s="49" t="inlineStr">
        <is>
          <t>State</t>
        </is>
      </c>
      <c r="D19" s="27" t="inlineStr">
        <is>
          <t>Revenue Policy Analyst (name to be confirmed)</t>
        </is>
      </c>
      <c r="E19" s="27" t="inlineStr">
        <is>
          <t>Policy analyst</t>
        </is>
      </c>
      <c r="F19" s="49" t="inlineStr">
        <is>
          <t>Jordan Pike</t>
        </is>
      </c>
      <c r="G19" s="27" t="inlineStr">
        <is>
          <t>Tier 3 Maintain</t>
        </is>
      </c>
      <c r="H19" s="49" t="inlineStr">
        <is>
          <t>Aligned</t>
        </is>
      </c>
      <c r="I19" s="49" t="inlineStr">
        <is>
          <t>Working</t>
        </is>
      </c>
      <c r="J19" s="27" t="inlineStr">
        <is>
          <t>Clear rate base assumptions and an administration lead time</t>
        </is>
      </c>
      <c r="K19" s="27" t="inlineStr">
        <is>
          <t>Accurate fiscal note language</t>
        </is>
      </c>
      <c r="L19" s="49" t="inlineStr">
        <is>
          <t>OBJ-1</t>
        </is>
      </c>
      <c r="M19" s="49" t="inlineStr">
        <is>
          <t>Quarterly</t>
        </is>
      </c>
      <c r="N19" s="27" t="inlineStr">
        <is>
          <t>Staff flagged an administration lead time of about two quarters after enactment.</t>
        </is>
      </c>
      <c r="O19" s="51">
        <f>IF(tblRelationships[[#This Row],[Cadence]]="","",IFERROR(INDEX(lstCadenceDays,MATCH(tblRelationships[[#This Row],[Cadence]],lstCadence,0)),""))</f>
        <v>90</v>
      </c>
      <c r="P19" s="54">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46436.0</v>
      </c>
      <c r="Q19" s="51">
        <f>IF(tblRelationships[[#This Row],[Last Contact]]="","",AsOf-tblRelationships[[#This Row],[Last Contact]])</f>
        <v>49</v>
      </c>
      <c r="R19" s="53"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Current</v>
      </c>
      <c r="S19" s="54"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20">
      <c r="A20" s="49" t="inlineStr">
        <is>
          <t>REL-15</t>
        </is>
      </c>
      <c r="B20" s="27" t="inlineStr">
        <is>
          <t>State environmental permitting agency</t>
        </is>
      </c>
      <c r="C20" s="49" t="inlineStr">
        <is>
          <t>State</t>
        </is>
      </c>
      <c r="D20" s="27" t="inlineStr">
        <is>
          <t>Stormwater Program Manager (name to be confirmed)</t>
        </is>
      </c>
      <c r="E20" s="27" t="inlineStr">
        <is>
          <t>Program manager</t>
        </is>
      </c>
      <c r="F20" s="49" t="inlineStr">
        <is>
          <t>Jordan Pike</t>
        </is>
      </c>
      <c r="G20" s="27" t="inlineStr">
        <is>
          <t>Tier 3 Maintain</t>
        </is>
      </c>
      <c r="H20" s="49" t="inlineStr">
        <is>
          <t>Unknown</t>
        </is>
      </c>
      <c r="I20" s="49" t="inlineStr">
        <is>
          <t>Dormant</t>
        </is>
      </c>
      <c r="J20" s="27" t="inlineStr">
        <is>
          <t>Technical comments on the general permit revision that are specific and costed</t>
        </is>
      </c>
      <c r="K20" s="27" t="inlineStr">
        <is>
          <t>Rule language that preserves county authority</t>
        </is>
      </c>
      <c r="L20" s="49" t="inlineStr">
        <is>
          <t>OBJ-2</t>
        </is>
      </c>
      <c r="M20" s="49" t="inlineStr">
        <is>
          <t>Quarterly</t>
        </is>
      </c>
      <c r="N20" s="27" t="inlineStr">
        <is>
          <t>Comment period on the permit revision closes May 7.</t>
        </is>
      </c>
      <c r="O20" s="51">
        <f>IF(tblRelationships[[#This Row],[Cadence]]="","",IFERROR(INDEX(lstCadenceDays,MATCH(tblRelationships[[#This Row],[Cadence]],lstCadence,0)),""))</f>
        <v>90</v>
      </c>
      <c r="P20" s="54"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20" s="51" t="str">
        <f>IF(tblRelationships[[#This Row],[Last Contact]]="","",AsOf-tblRelationships[[#This Row],[Last Contact]])</f>
        <v/>
      </c>
      <c r="R20" s="53"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No Contact Logged</v>
      </c>
      <c r="S20" s="54">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46511.0</v>
      </c>
    </row>
    <row r="21">
      <c r="A21" s="49" t="inlineStr">
        <is>
          <t>REL-16</t>
        </is>
      </c>
      <c r="B21" s="27" t="inlineStr">
        <is>
          <t>Marlow Valley Council of Governments</t>
        </is>
      </c>
      <c r="C21" s="49" t="inlineStr">
        <is>
          <t>Regional</t>
        </is>
      </c>
      <c r="D21" s="27" t="inlineStr">
        <is>
          <t>Executive Director (name to be confirmed)</t>
        </is>
      </c>
      <c r="E21" s="27" t="inlineStr">
        <is>
          <t>Executive director</t>
        </is>
      </c>
      <c r="F21" s="49" t="inlineStr">
        <is>
          <t>Alicia Brandt</t>
        </is>
      </c>
      <c r="G21" s="27" t="inlineStr">
        <is>
          <t>Tier 4 Monitor</t>
        </is>
      </c>
      <c r="H21" s="49" t="inlineStr">
        <is>
          <t>Unknown</t>
        </is>
      </c>
      <c r="I21" s="49" t="inlineStr">
        <is>
          <t>Dormant</t>
        </is>
      </c>
      <c r="J21" s="27" t="inlineStr">
        <is>
          <t>Not applicable at present</t>
        </is>
      </c>
      <c r="K21" s="27" t="inlineStr">
        <is>
          <t>Early notice if the Council takes a position on regional bridge funding</t>
        </is>
      </c>
      <c r="L21" s="49" t="inlineStr">
        <is>
          <t>OBJ-4</t>
        </is>
      </c>
      <c r="M21" s="49" t="inlineStr">
        <is>
          <t>Semiannual</t>
        </is>
      </c>
      <c r="N21" s="27" t="inlineStr">
        <is>
          <t>Monitor agendas only.</t>
        </is>
      </c>
      <c r="O21" s="51">
        <f>IF(tblRelationships[[#This Row],[Cadence]]="","",IFERROR(INDEX(lstCadenceDays,MATCH(tblRelationships[[#This Row],[Cadence]],lstCadence,0)),""))</f>
        <v>180</v>
      </c>
      <c r="P21" s="54"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21" s="51" t="str">
        <f>IF(tblRelationships[[#This Row],[Last Contact]]="","",AsOf-tblRelationships[[#This Row],[Last Contact]])</f>
        <v/>
      </c>
      <c r="R21" s="53"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No Contact Logged</v>
      </c>
      <c r="S21" s="54"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22">
      <c r="A22" s="49" t="n"/>
      <c r="B22" s="27" t="n"/>
      <c r="C22" s="49" t="n"/>
      <c r="D22" s="27" t="n"/>
      <c r="E22" s="27" t="n"/>
      <c r="F22" s="49" t="n"/>
      <c r="G22" s="27" t="n"/>
      <c r="H22" s="49" t="n"/>
      <c r="I22" s="49" t="n"/>
      <c r="J22" s="27" t="n"/>
      <c r="K22" s="27" t="n"/>
      <c r="L22" s="49" t="n"/>
      <c r="M22" s="49" t="n"/>
      <c r="N22" s="27" t="n"/>
      <c r="O22" s="51" t="str">
        <f>IF(tblRelationships[[#This Row],[Cadence]]="","",IFERROR(INDEX(lstCadenceDays,MATCH(tblRelationships[[#This Row],[Cadence]],lstCadence,0)),""))</f>
        <v/>
      </c>
      <c r="P22" s="54"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22" s="51" t="str">
        <f>IF(tblRelationships[[#This Row],[Last Contact]]="","",AsOf-tblRelationships[[#This Row],[Last Contact]])</f>
        <v/>
      </c>
      <c r="R22" s="53"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
      </c>
      <c r="S22" s="54"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23">
      <c r="A23" s="49" t="n"/>
      <c r="B23" s="27" t="n"/>
      <c r="C23" s="49" t="n"/>
      <c r="D23" s="27" t="n"/>
      <c r="E23" s="27" t="n"/>
      <c r="F23" s="49" t="n"/>
      <c r="G23" s="27" t="n"/>
      <c r="H23" s="49" t="n"/>
      <c r="I23" s="49" t="n"/>
      <c r="J23" s="27" t="n"/>
      <c r="K23" s="27" t="n"/>
      <c r="L23" s="49" t="n"/>
      <c r="M23" s="49" t="n"/>
      <c r="N23" s="27" t="n"/>
      <c r="O23" s="51" t="str">
        <f>IF(tblRelationships[[#This Row],[Cadence]]="","",IFERROR(INDEX(lstCadenceDays,MATCH(tblRelationships[[#This Row],[Cadence]],lstCadence,0)),""))</f>
        <v/>
      </c>
      <c r="P23" s="54"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23" s="51" t="str">
        <f>IF(tblRelationships[[#This Row],[Last Contact]]="","",AsOf-tblRelationships[[#This Row],[Last Contact]])</f>
        <v/>
      </c>
      <c r="R23" s="53"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
      </c>
      <c r="S23" s="54"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24">
      <c r="A24" s="49" t="n"/>
      <c r="B24" s="27" t="n"/>
      <c r="C24" s="49" t="n"/>
      <c r="D24" s="27" t="n"/>
      <c r="E24" s="27" t="n"/>
      <c r="F24" s="49" t="n"/>
      <c r="G24" s="27" t="n"/>
      <c r="H24" s="49" t="n"/>
      <c r="I24" s="49" t="n"/>
      <c r="J24" s="27" t="n"/>
      <c r="K24" s="27" t="n"/>
      <c r="L24" s="49" t="n"/>
      <c r="M24" s="49" t="n"/>
      <c r="N24" s="27" t="n"/>
      <c r="O24" s="51" t="str">
        <f>IF(tblRelationships[[#This Row],[Cadence]]="","",IFERROR(INDEX(lstCadenceDays,MATCH(tblRelationships[[#This Row],[Cadence]],lstCadence,0)),""))</f>
        <v/>
      </c>
      <c r="P24" s="54"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24" s="51" t="str">
        <f>IF(tblRelationships[[#This Row],[Last Contact]]="","",AsOf-tblRelationships[[#This Row],[Last Contact]])</f>
        <v/>
      </c>
      <c r="R24" s="53"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
      </c>
      <c r="S24" s="54"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25">
      <c r="A25" s="49" t="n"/>
      <c r="B25" s="27" t="n"/>
      <c r="C25" s="49" t="n"/>
      <c r="D25" s="27" t="n"/>
      <c r="E25" s="27" t="n"/>
      <c r="F25" s="49" t="n"/>
      <c r="G25" s="27" t="n"/>
      <c r="H25" s="49" t="n"/>
      <c r="I25" s="49" t="n"/>
      <c r="J25" s="27" t="n"/>
      <c r="K25" s="27" t="n"/>
      <c r="L25" s="49" t="n"/>
      <c r="M25" s="49" t="n"/>
      <c r="N25" s="27" t="n"/>
      <c r="O25" s="51" t="str">
        <f>IF(tblRelationships[[#This Row],[Cadence]]="","",IFERROR(INDEX(lstCadenceDays,MATCH(tblRelationships[[#This Row],[Cadence]],lstCadence,0)),""))</f>
        <v/>
      </c>
      <c r="P25" s="54"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25" s="51" t="str">
        <f>IF(tblRelationships[[#This Row],[Last Contact]]="","",AsOf-tblRelationships[[#This Row],[Last Contact]])</f>
        <v/>
      </c>
      <c r="R25" s="53"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
      </c>
      <c r="S25" s="54"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26">
      <c r="A26" s="49" t="n"/>
      <c r="B26" s="27" t="n"/>
      <c r="C26" s="49" t="n"/>
      <c r="D26" s="27" t="n"/>
      <c r="E26" s="27" t="n"/>
      <c r="F26" s="49" t="n"/>
      <c r="G26" s="27" t="n"/>
      <c r="H26" s="49" t="n"/>
      <c r="I26" s="49" t="n"/>
      <c r="J26" s="27" t="n"/>
      <c r="K26" s="27" t="n"/>
      <c r="L26" s="49" t="n"/>
      <c r="M26" s="49" t="n"/>
      <c r="N26" s="27" t="n"/>
      <c r="O26" s="51" t="str">
        <f>IF(tblRelationships[[#This Row],[Cadence]]="","",IFERROR(INDEX(lstCadenceDays,MATCH(tblRelationships[[#This Row],[Cadence]],lstCadence,0)),""))</f>
        <v/>
      </c>
      <c r="P26" s="54"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26" s="51" t="str">
        <f>IF(tblRelationships[[#This Row],[Last Contact]]="","",AsOf-tblRelationships[[#This Row],[Last Contact]])</f>
        <v/>
      </c>
      <c r="R26" s="53"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
      </c>
      <c r="S26" s="54"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27">
      <c r="A27" s="49" t="n"/>
      <c r="B27" s="27" t="n"/>
      <c r="C27" s="49" t="n"/>
      <c r="D27" s="27" t="n"/>
      <c r="E27" s="27" t="n"/>
      <c r="F27" s="49" t="n"/>
      <c r="G27" s="27" t="n"/>
      <c r="H27" s="49" t="n"/>
      <c r="I27" s="49" t="n"/>
      <c r="J27" s="27" t="n"/>
      <c r="K27" s="27" t="n"/>
      <c r="L27" s="49" t="n"/>
      <c r="M27" s="49" t="n"/>
      <c r="N27" s="27" t="n"/>
      <c r="O27" s="51" t="str">
        <f>IF(tblRelationships[[#This Row],[Cadence]]="","",IFERROR(INDEX(lstCadenceDays,MATCH(tblRelationships[[#This Row],[Cadence]],lstCadence,0)),""))</f>
        <v/>
      </c>
      <c r="P27" s="54"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27" s="51" t="str">
        <f>IF(tblRelationships[[#This Row],[Last Contact]]="","",AsOf-tblRelationships[[#This Row],[Last Contact]])</f>
        <v/>
      </c>
      <c r="R27" s="53"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
      </c>
      <c r="S27" s="54"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28">
      <c r="A28" s="49" t="n"/>
      <c r="B28" s="27" t="n"/>
      <c r="C28" s="49" t="n"/>
      <c r="D28" s="27" t="n"/>
      <c r="E28" s="27" t="n"/>
      <c r="F28" s="49" t="n"/>
      <c r="G28" s="27" t="n"/>
      <c r="H28" s="49" t="n"/>
      <c r="I28" s="49" t="n"/>
      <c r="J28" s="27" t="n"/>
      <c r="K28" s="27" t="n"/>
      <c r="L28" s="49" t="n"/>
      <c r="M28" s="49" t="n"/>
      <c r="N28" s="27" t="n"/>
      <c r="O28" s="51" t="str">
        <f>IF(tblRelationships[[#This Row],[Cadence]]="","",IFERROR(INDEX(lstCadenceDays,MATCH(tblRelationships[[#This Row],[Cadence]],lstCadence,0)),""))</f>
        <v/>
      </c>
      <c r="P28" s="54"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28" s="51" t="str">
        <f>IF(tblRelationships[[#This Row],[Last Contact]]="","",AsOf-tblRelationships[[#This Row],[Last Contact]])</f>
        <v/>
      </c>
      <c r="R28" s="53"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
      </c>
      <c r="S28" s="54"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row r="29">
      <c r="A29" s="49" t="n"/>
      <c r="B29" s="27" t="n"/>
      <c r="C29" s="49" t="n"/>
      <c r="D29" s="27" t="n"/>
      <c r="E29" s="27" t="n"/>
      <c r="F29" s="49" t="n"/>
      <c r="G29" s="27" t="n"/>
      <c r="H29" s="49" t="n"/>
      <c r="I29" s="49" t="n"/>
      <c r="J29" s="27" t="n"/>
      <c r="K29" s="27" t="n"/>
      <c r="L29" s="49" t="n"/>
      <c r="M29" s="49" t="n"/>
      <c r="N29" s="27" t="n"/>
      <c r="O29" s="51" t="str">
        <f>IF(tblRelationships[[#This Row],[Cadence]]="","",IFERROR(INDEX(lstCadenceDays,MATCH(tblRelationships[[#This Row],[Cadence]],lstCadence,0)),""))</f>
        <v/>
      </c>
      <c r="P29" s="54" t="str">
        <f>IF(tblRelationships[[#This Row],[ID]]="","",IF(SUMPRODUCT(MAX((tblActions[Relationship ID]=tblRelationships[[#This Row],[ID]])*(tblActions[Status]="Complete")*(tblActions[Action Type]&lt;&gt;"Internal Clearance")*tblActions[Date]))=0,"",SUMPRODUCT(MAX((tblActions[Relationship ID]=tblRelationships[[#This Row],[ID]])*(tblActions[Status]="Complete")*(tblActions[Action Type]&lt;&gt;"Internal Clearance")*tblActions[Date]))))</f>
        <v/>
      </c>
      <c r="Q29" s="51" t="str">
        <f>IF(tblRelationships[[#This Row],[Last Contact]]="","",AsOf-tblRelationships[[#This Row],[Last Contact]])</f>
        <v/>
      </c>
      <c r="R29" s="53" t="str">
        <f>IF(tblRelationships[[#This Row],[ID]]="","",IF(tblRelationships[[#This Row],[Cadence]]="","No Cadence Set",IF(tblRelationships[[#This Row],[Cadence]]="As Needed","As Needed",IF(tblRelationships[[#This Row],[Last Contact]]="","No Contact Logged",IF(tblRelationships[[#This Row],[Days Since Contact]]&gt;tblRelationships[[#This Row],[Cadence Days]],"Overdue",IF(tblRelationships[[#This Row],[Days Since Contact]]&gt;0.75*tblRelationships[[#This Row],[Cadence Days]],"Due Soon","Current"))))))</f>
        <v/>
      </c>
      <c r="S29" s="54" t="str">
        <f>IF(tblRelationships[[#This Row],[ID]]="","",IF(SUMPRODUCT(MIN(tblActions[Date]+(((tblActions[Relationship ID]&lt;&gt;tblRelationships[[#This Row],[ID]])+((tblActions[Status]&lt;&gt;"Planned")*(tblActions[Status]&lt;&gt;"In Progress"))+(tblActions[Date]&lt;AsOf))&gt;0)*1000000))&gt;=1000000,"",SUMPRODUCT(MIN(tblActions[Date]+(((tblActions[Relationship ID]&lt;&gt;tblRelationships[[#This Row],[ID]])+((tblActions[Status]&lt;&gt;"Planned")*(tblActions[Status]&lt;&gt;"In Progress"))+(tblActions[Date]&lt;AsOf))&gt;0)*1000000))))</f>
        <v/>
      </c>
    </row>
  </sheetData>
  <conditionalFormatting sqref="R6:R29">
    <cfRule type="cellIs" priority="1" operator="equal" dxfId="1">
      <formula>"Current"</formula>
    </cfRule>
    <cfRule type="cellIs" priority="2" operator="equal" dxfId="3">
      <formula>"Due Soon"</formula>
    </cfRule>
    <cfRule type="cellIs" priority="3" operator="equal" dxfId="4">
      <formula>"Overdue"</formula>
    </cfRule>
    <cfRule type="cellIs" priority="4" operator="equal" dxfId="4">
      <formula>"No Contact Logged"</formula>
    </cfRule>
  </conditionalFormatting>
  <conditionalFormatting sqref="I6:I29">
    <cfRule type="cellIs" priority="5" operator="equal" dxfId="4">
      <formula>"Strained"</formula>
    </cfRule>
    <cfRule type="cellIs" priority="6" operator="equal" dxfId="1">
      <formula>"Strong"</formula>
    </cfRule>
  </conditionalFormatting>
  <conditionalFormatting sqref="H6:H29">
    <cfRule type="cellIs" priority="7" operator="equal" dxfId="4">
      <formula>"Divergent"</formula>
    </cfRule>
    <cfRule type="cellIs" priority="8" operator="equal" dxfId="9">
      <formula>"Mixed"</formula>
    </cfRule>
  </conditionalFormatting>
  <dataValidations count="7">
    <dataValidation sqref="C6:C29" showDropDown="0" showInputMessage="0" showErrorMessage="1" allowBlank="1" errorTitle="Choose from the list" error="Pick a value from the dropdown. Edit the lists on the Lists sheet." type="list" errorStyle="stop">
      <formula1>=lstLevel</formula1>
    </dataValidation>
    <dataValidation sqref="F6:F29" showDropDown="0" showInputMessage="0" showErrorMessage="1" allowBlank="1" errorTitle="Name not on the People list" error="This name is not on the People list on the Lists sheet. Add it there, or continue to keep what you typed." type="list" errorStyle="warning">
      <formula1>=lstPeople</formula1>
    </dataValidation>
    <dataValidation sqref="G6:G29" showDropDown="0" showInputMessage="0" showErrorMessage="1" allowBlank="1" errorTitle="Choose from the list" error="Pick a value from the dropdown. Edit the lists on the Lists sheet." type="list" errorStyle="stop">
      <formula1>=lstTier</formula1>
    </dataValidation>
    <dataValidation sqref="H6:H29" showDropDown="0" showInputMessage="0" showErrorMessage="1" allowBlank="1" errorTitle="Choose from the list" error="Pick a value from the dropdown. Edit the lists on the Lists sheet." type="list" errorStyle="stop">
      <formula1>=lstPosture</formula1>
    </dataValidation>
    <dataValidation sqref="I6:I29" showDropDown="0" showInputMessage="0" showErrorMessage="1" allowBlank="1" errorTitle="Choose from the list" error="Pick a value from the dropdown. Edit the lists on the Lists sheet." type="list" errorStyle="stop">
      <formula1>=lstHealth</formula1>
    </dataValidation>
    <dataValidation sqref="L6:L29" showDropDown="0" showInputMessage="0" showErrorMessage="1" allowBlank="1" errorTitle="Choose from the list" error="Pick a value from the dropdown. Edit the lists on the Lists sheet." type="list" errorStyle="stop">
      <formula1>=rngObjIDs</formula1>
    </dataValidation>
    <dataValidation sqref="M6:M29" showDropDown="0" showInputMessage="0" showErrorMessage="1" allowBlank="1" errorTitle="Choose from the list" error="Pick a value from the dropdown. Edit the lists on the Lists sheet." type="list" errorStyle="stop">
      <formula1>=lstCadence</formula1>
    </dataValidation>
  </dataValidations>
  <pageMargins left="0.5" right="0.5" top="1" bottom="1" header="0.5" footer="0.5"/>
  <pageSetup orientation="landscape" fitToHeight="0" fitToWidth="1"/>
  <headerFooter>
    <oddHeader/>
    <oddFooter>&amp;L&amp;8 Intergov Association | Strategic Plan Tracker&amp;R&amp;8 &amp;A | Page &amp;P of &amp;N</oddFooter>
    <evenHeader/>
    <evenFooter/>
    <firstHeader/>
    <firstFooter/>
  </headerFooter>
  <tableParts count="1">
    <tablePart xmlns:r="http://schemas.openxmlformats.org/officeDocument/2006/relationships" r:id="rId1"/>
  </tableParts>
</worksheet>
</file>

<file path=xl/worksheets/sheet5.xml><?xml version="1.0" encoding="utf-8"?>
<worksheet xmlns="http://schemas.openxmlformats.org/spreadsheetml/2006/main">
  <sheetPr>
    <tabColor rgb="00192E43"/>
    <outlinePr summaryBelow="1" summaryRight="1"/>
    <pageSetUpPr fitToPage="1"/>
  </sheetPr>
  <dimension ref="A1:U24"/>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9" customWidth="1" min="1" max="1"/>
    <col width="14" customWidth="1" min="2" max="2"/>
    <col width="16" customWidth="1" min="3" max="3"/>
    <col width="38" customWidth="1" min="4" max="4"/>
    <col width="24" customWidth="1" min="5" max="5"/>
    <col width="11" customWidth="1" min="6" max="6"/>
    <col width="12" customWidth="1" min="7" max="7"/>
    <col width="11" customWidth="1" min="8" max="8"/>
    <col width="16" customWidth="1" min="9" max="9"/>
    <col width="18" customWidth="1" min="10" max="10"/>
    <col width="13" customWidth="1" min="11" max="11"/>
    <col width="12" customWidth="1" min="12" max="12"/>
    <col width="24" customWidth="1" min="13" max="13"/>
    <col width="38" customWidth="1" min="14" max="14"/>
    <col width="38" customWidth="1" min="15" max="15"/>
    <col width="10" customWidth="1" min="16" max="16"/>
    <col width="14" customWidth="1" min="17" max="17"/>
    <col width="7" customWidth="1" min="18" max="18"/>
    <col width="22" customWidth="1" min="19" max="19"/>
    <col width="9" customWidth="1" min="20" max="20"/>
    <col width="9" customWidth="1" min="21" max="21"/>
  </cols>
  <sheetData>
    <row r="1">
      <c r="A1" s="46" t="inlineStr">
        <is>
          <t>Legislative and Administrative Priorities</t>
        </is>
      </c>
    </row>
    <row r="2">
      <c r="A2" s="18" t="inlineStr">
        <is>
          <t>Bills, budget items, rules, grants, approvals, and agreements you are working, with positions, clearance, and key dates.</t>
        </is>
      </c>
    </row>
    <row r="3">
      <c r="A3" s="33" t="inlineStr">
        <is>
          <t xml:space="preserve">Navy headers: enter data. Slate headers with gray cells: calculated, do not overwrite. </t>
        </is>
      </c>
    </row>
    <row r="5" ht="34" customHeight="1">
      <c r="A5" s="47" t="inlineStr">
        <is>
          <t>ID</t>
        </is>
      </c>
      <c r="B5" s="47" t="inlineStr">
        <is>
          <t>Track</t>
        </is>
      </c>
      <c r="C5" s="47" t="inlineStr">
        <is>
          <t>Item Type</t>
        </is>
      </c>
      <c r="D5" s="47" t="inlineStr">
        <is>
          <t>Measure or Matter</t>
        </is>
      </c>
      <c r="E5" s="47" t="inlineStr">
        <is>
          <t>Body or Agency</t>
        </is>
      </c>
      <c r="F5" s="47" t="inlineStr">
        <is>
          <t>Level</t>
        </is>
      </c>
      <c r="G5" s="47" t="inlineStr">
        <is>
          <t>Our Position</t>
        </is>
      </c>
      <c r="H5" s="47" t="inlineStr">
        <is>
          <t>Objective ID</t>
        </is>
      </c>
      <c r="I5" s="47" t="inlineStr">
        <is>
          <t>Lead</t>
        </is>
      </c>
      <c r="J5" s="47" t="inlineStr">
        <is>
          <t>Stage</t>
        </is>
      </c>
      <c r="K5" s="47" t="inlineStr">
        <is>
          <t>Clearance</t>
        </is>
      </c>
      <c r="L5" s="47" t="inlineStr">
        <is>
          <t>Next Key Date</t>
        </is>
      </c>
      <c r="M5" s="47" t="inlineStr">
        <is>
          <t>Key Date Description</t>
        </is>
      </c>
      <c r="N5" s="47" t="inlineStr">
        <is>
          <t>Desired Outcome</t>
        </is>
      </c>
      <c r="O5" s="47" t="inlineStr">
        <is>
          <t>Notes</t>
        </is>
      </c>
      <c r="P5" s="48" t="inlineStr">
        <is>
          <t>Days to Key Date</t>
        </is>
      </c>
      <c r="Q5" s="48" t="inlineStr">
        <is>
          <t>Date Flag</t>
        </is>
      </c>
      <c r="R5" s="48" t="inlineStr">
        <is>
          <t>Open</t>
        </is>
      </c>
      <c r="S5" s="48" t="inlineStr">
        <is>
          <t>Attention</t>
        </is>
      </c>
      <c r="T5" s="48" t="inlineStr">
        <is>
          <t>Open Actions</t>
        </is>
      </c>
      <c r="U5" s="48" t="inlineStr">
        <is>
          <t>Upcoming Rank</t>
        </is>
      </c>
    </row>
    <row r="6">
      <c r="A6" s="49" t="inlineStr">
        <is>
          <t>LEG-01</t>
        </is>
      </c>
      <c r="B6" s="49" t="inlineStr">
        <is>
          <t>Legislative</t>
        </is>
      </c>
      <c r="C6" s="27" t="inlineStr">
        <is>
          <t>Bill</t>
        </is>
      </c>
      <c r="D6" s="27" t="inlineStr">
        <is>
          <t>SB 214, Local Transportation Sales Tax Authorization</t>
        </is>
      </c>
      <c r="E6" s="27" t="inlineStr">
        <is>
          <t>Marlow General Assembly</t>
        </is>
      </c>
      <c r="F6" s="49" t="inlineStr">
        <is>
          <t>State</t>
        </is>
      </c>
      <c r="G6" s="49" t="inlineStr">
        <is>
          <t>Support</t>
        </is>
      </c>
      <c r="H6" s="49" t="inlineStr">
        <is>
          <t>OBJ-1</t>
        </is>
      </c>
      <c r="I6" s="49" t="inlineStr">
        <is>
          <t>Jordan Pike</t>
        </is>
      </c>
      <c r="J6" s="27" t="inlineStr">
        <is>
          <t>Active Consideration</t>
        </is>
      </c>
      <c r="K6" s="49" t="inlineStr">
        <is>
          <t>Cleared</t>
        </is>
      </c>
      <c r="L6" s="50" t="n">
        <v>46491</v>
      </c>
      <c r="M6" s="27" t="inlineStr">
        <is>
          <t>House committee vote</t>
        </is>
      </c>
      <c r="N6" s="27" t="inlineStr">
        <is>
          <t>Enactment with a rate ceiling of at least 0.5 percent and bridge capital eligible</t>
        </is>
      </c>
      <c r="O6" s="27" t="inlineStr">
        <is>
          <t>Passed the Senate Mar 10. Riverton wants a distribution share; the County opposes a mandatory share.</t>
        </is>
      </c>
      <c r="P6" s="51">
        <f>IF(tblPriorities[[#This Row],[Next Key Date]]="","",tblPriorities[[#This Row],[Next Key Date]]-AsOf)</f>
        <v>6</v>
      </c>
      <c r="Q6" s="53" t="str">
        <f>IF(tblPriorities[[#This Row],[ID]]="","",IF(tblPriorities[[#This Row],[Next Key Date]]="","No Date",IF(tblPriorities[[#This Row],[Next Key Date]]&lt;AsOf,"Passed",IF(tblPriorities[[#This Row],[Next Key Date]]-AsOf&lt;=14,"Within 14 Days",IF(tblPriorities[[#This Row],[Next Key Date]]-AsOf&lt;=30,"Within 30 Days","Later")))))</f>
        <v>Within 14 Days</v>
      </c>
      <c r="R6" s="51">
        <f>IF(tblPriorities[[#This Row],[ID]]="",0,IF(OR(tblPriorities[[#This Row],[Stage]]="Resolved Favorable",tblPriorities[[#This Row],[Stage]]="Resolved Unfavorable",tblPriorities[[#This Row],[Stage]]="Inactive"),0,1))</f>
        <v>1</v>
      </c>
      <c r="S6" s="53" t="str">
        <f>IF(tblPriorities[[#This Row],[Open]]&lt;&gt;1,"",IF(AND(tblPriorities[[#This Row],[Our Position]]&lt;&gt;"Monitor",tblPriorities[[#This Row],[Clearance]]&lt;&gt;"Cleared"),"Clearance Needed",IF(tblPriorities[[#This Row],[Next Key Date]]="","",IF(tblPriorities[[#This Row],[Next Key Date]]&lt;AsOf,"Key Date Passed",IF(tblPriorities[[#This Row],[Next Key Date]]-AsOf&lt;=14,"Key Date Within 14 Days","")))))</f>
        <v>Key Date Within 14 Days</v>
      </c>
      <c r="T6" s="51">
        <f>IF(tblPriorities[[#This Row],[ID]]="","",COUNTIFS(tblActions[Priority ID],tblPriorities[[#This Row],[ID]],tblActions[Status],"Planned")+COUNTIFS(tblActions[Priority ID],tblPriorities[[#This Row],[ID]],tblActions[Status],"In Progress"))</f>
        <v>3</v>
      </c>
      <c r="U6" s="51">
        <f>IF(OR(tblPriorities[[#This Row],[Open]]&lt;&gt;1,tblPriorities[[#This Row],[Next Key Date]]="",tblPriorities[[#This Row],[Next Key Date]]&lt;AsOf),"",SUMPRODUCT((tblPriorities[Open]=1)*(tblPriorities[Next Key Date]&lt;&gt;"")*(tblPriorities[Next Key Date]&gt;=AsOf)*(tblPriorities[Next Key Date]&lt;tblPriorities[[#This Row],[Next Key Date]]))+SUMPRODUCT((tblPriorities[Open]=1)*(tblPriorities[Next Key Date]&lt;&gt;"")*(tblPriorities[Next Key Date]&gt;=AsOf)*(tblPriorities[Next Key Date]=tblPriorities[[#This Row],[Next Key Date]])*(ROW(tblPriorities[ID])&lt;ROW()))+1)</f>
        <v>1</v>
      </c>
    </row>
    <row r="7">
      <c r="A7" s="49" t="inlineStr">
        <is>
          <t>LEG-02</t>
        </is>
      </c>
      <c r="B7" s="49" t="inlineStr">
        <is>
          <t>Legislative</t>
        </is>
      </c>
      <c r="C7" s="27" t="inlineStr">
        <is>
          <t>Bill</t>
        </is>
      </c>
      <c r="D7" s="27" t="inlineStr">
        <is>
          <t>HB 388, Local Permitting and Stormwater Uniformity</t>
        </is>
      </c>
      <c r="E7" s="27" t="inlineStr">
        <is>
          <t>Marlow General Assembly</t>
        </is>
      </c>
      <c r="F7" s="49" t="inlineStr">
        <is>
          <t>State</t>
        </is>
      </c>
      <c r="G7" s="49" t="inlineStr">
        <is>
          <t>Amend</t>
        </is>
      </c>
      <c r="H7" s="49" t="inlineStr">
        <is>
          <t>OBJ-2</t>
        </is>
      </c>
      <c r="I7" s="49" t="inlineStr">
        <is>
          <t>Jordan Pike</t>
        </is>
      </c>
      <c r="J7" s="27" t="inlineStr">
        <is>
          <t>Active Consideration</t>
        </is>
      </c>
      <c r="K7" s="49" t="inlineStr">
        <is>
          <t>Cleared</t>
        </is>
      </c>
      <c r="L7" s="50" t="n">
        <v>46493</v>
      </c>
      <c r="M7" s="27" t="inlineStr">
        <is>
          <t>Senate committee action</t>
        </is>
      </c>
      <c r="N7" s="27" t="inlineStr">
        <is>
          <t>Opt-out language for stricter local standards retained</t>
        </is>
      </c>
      <c r="O7" s="27" t="inlineStr">
        <is>
          <t>Passed the House with the opt-out amendment. Sponsor intends to seek its removal.</t>
        </is>
      </c>
      <c r="P7" s="51">
        <f>IF(tblPriorities[[#This Row],[Next Key Date]]="","",tblPriorities[[#This Row],[Next Key Date]]-AsOf)</f>
        <v>8</v>
      </c>
      <c r="Q7" s="53" t="str">
        <f>IF(tblPriorities[[#This Row],[ID]]="","",IF(tblPriorities[[#This Row],[Next Key Date]]="","No Date",IF(tblPriorities[[#This Row],[Next Key Date]]&lt;AsOf,"Passed",IF(tblPriorities[[#This Row],[Next Key Date]]-AsOf&lt;=14,"Within 14 Days",IF(tblPriorities[[#This Row],[Next Key Date]]-AsOf&lt;=30,"Within 30 Days","Later")))))</f>
        <v>Within 14 Days</v>
      </c>
      <c r="R7" s="51">
        <f>IF(tblPriorities[[#This Row],[ID]]="",0,IF(OR(tblPriorities[[#This Row],[Stage]]="Resolved Favorable",tblPriorities[[#This Row],[Stage]]="Resolved Unfavorable",tblPriorities[[#This Row],[Stage]]="Inactive"),0,1))</f>
        <v>1</v>
      </c>
      <c r="S7" s="53" t="str">
        <f>IF(tblPriorities[[#This Row],[Open]]&lt;&gt;1,"",IF(AND(tblPriorities[[#This Row],[Our Position]]&lt;&gt;"Monitor",tblPriorities[[#This Row],[Clearance]]&lt;&gt;"Cleared"),"Clearance Needed",IF(tblPriorities[[#This Row],[Next Key Date]]="","",IF(tblPriorities[[#This Row],[Next Key Date]]&lt;AsOf,"Key Date Passed",IF(tblPriorities[[#This Row],[Next Key Date]]-AsOf&lt;=14,"Key Date Within 14 Days","")))))</f>
        <v>Key Date Within 14 Days</v>
      </c>
      <c r="T7" s="51">
        <f>IF(tblPriorities[[#This Row],[ID]]="","",COUNTIFS(tblActions[Priority ID],tblPriorities[[#This Row],[ID]],tblActions[Status],"Planned")+COUNTIFS(tblActions[Priority ID],tblPriorities[[#This Row],[ID]],tblActions[Status],"In Progress"))</f>
        <v>1</v>
      </c>
      <c r="U7" s="51">
        <f>IF(OR(tblPriorities[[#This Row],[Open]]&lt;&gt;1,tblPriorities[[#This Row],[Next Key Date]]="",tblPriorities[[#This Row],[Next Key Date]]&lt;AsOf),"",SUMPRODUCT((tblPriorities[Open]=1)*(tblPriorities[Next Key Date]&lt;&gt;"")*(tblPriorities[Next Key Date]&gt;=AsOf)*(tblPriorities[Next Key Date]&lt;tblPriorities[[#This Row],[Next Key Date]]))+SUMPRODUCT((tblPriorities[Open]=1)*(tblPriorities[Next Key Date]&lt;&gt;"")*(tblPriorities[Next Key Date]&gt;=AsOf)*(tblPriorities[Next Key Date]=tblPriorities[[#This Row],[Next Key Date]])*(ROW(tblPriorities[ID])&lt;ROW()))+1)</f>
        <v>2</v>
      </c>
    </row>
    <row r="8">
      <c r="A8" s="49" t="inlineStr">
        <is>
          <t>LEG-03</t>
        </is>
      </c>
      <c r="B8" s="49" t="inlineStr">
        <is>
          <t>Legislative</t>
        </is>
      </c>
      <c r="C8" s="27" t="inlineStr">
        <is>
          <t>Bill</t>
        </is>
      </c>
      <c r="D8" s="27" t="inlineStr">
        <is>
          <t>HB 530, State Road Funding Formula Revision</t>
        </is>
      </c>
      <c r="E8" s="27" t="inlineStr">
        <is>
          <t>Marlow General Assembly</t>
        </is>
      </c>
      <c r="F8" s="49" t="inlineStr">
        <is>
          <t>State</t>
        </is>
      </c>
      <c r="G8" s="49" t="inlineStr">
        <is>
          <t>Undecided</t>
        </is>
      </c>
      <c r="H8" s="49" t="inlineStr">
        <is>
          <t>OBJ-1</t>
        </is>
      </c>
      <c r="I8" s="49" t="inlineStr">
        <is>
          <t>Jordan Pike</t>
        </is>
      </c>
      <c r="J8" s="27" t="inlineStr">
        <is>
          <t>Pending Action</t>
        </is>
      </c>
      <c r="K8" s="49" t="inlineStr">
        <is>
          <t>In Review</t>
        </is>
      </c>
      <c r="L8" s="50" t="n"/>
      <c r="M8" s="27" t="inlineStr">
        <is>
          <t>No hearing scheduled</t>
        </is>
      </c>
      <c r="N8" s="27" t="inlineStr">
        <is>
          <t>County position set after Budget Office impact estimate</t>
        </is>
      </c>
      <c r="O8" s="27" t="inlineStr">
        <is>
          <t>Could reduce the county share of state road funds before local revenue arrives. Position needed from Deputy County Executive.</t>
        </is>
      </c>
      <c r="P8" s="51" t="str">
        <f>IF(tblPriorities[[#This Row],[Next Key Date]]="","",tblPriorities[[#This Row],[Next Key Date]]-AsOf)</f>
        <v/>
      </c>
      <c r="Q8" s="53" t="str">
        <f>IF(tblPriorities[[#This Row],[ID]]="","",IF(tblPriorities[[#This Row],[Next Key Date]]="","No Date",IF(tblPriorities[[#This Row],[Next Key Date]]&lt;AsOf,"Passed",IF(tblPriorities[[#This Row],[Next Key Date]]-AsOf&lt;=14,"Within 14 Days",IF(tblPriorities[[#This Row],[Next Key Date]]-AsOf&lt;=30,"Within 30 Days","Later")))))</f>
        <v>No Date</v>
      </c>
      <c r="R8" s="51">
        <f>IF(tblPriorities[[#This Row],[ID]]="",0,IF(OR(tblPriorities[[#This Row],[Stage]]="Resolved Favorable",tblPriorities[[#This Row],[Stage]]="Resolved Unfavorable",tblPriorities[[#This Row],[Stage]]="Inactive"),0,1))</f>
        <v>1</v>
      </c>
      <c r="S8" s="53" t="str">
        <f>IF(tblPriorities[[#This Row],[Open]]&lt;&gt;1,"",IF(AND(tblPriorities[[#This Row],[Our Position]]&lt;&gt;"Monitor",tblPriorities[[#This Row],[Clearance]]&lt;&gt;"Cleared"),"Clearance Needed",IF(tblPriorities[[#This Row],[Next Key Date]]="","",IF(tblPriorities[[#This Row],[Next Key Date]]&lt;AsOf,"Key Date Passed",IF(tblPriorities[[#This Row],[Next Key Date]]-AsOf&lt;=14,"Key Date Within 14 Days","")))))</f>
        <v>Clearance Needed</v>
      </c>
      <c r="T8" s="51">
        <f>IF(tblPriorities[[#This Row],[ID]]="","",COUNTIFS(tblActions[Priority ID],tblPriorities[[#This Row],[ID]],tblActions[Status],"Planned")+COUNTIFS(tblActions[Priority ID],tblPriorities[[#This Row],[ID]],tblActions[Status],"In Progress"))</f>
        <v>1</v>
      </c>
      <c r="U8" s="51" t="str">
        <f>IF(OR(tblPriorities[[#This Row],[Open]]&lt;&gt;1,tblPriorities[[#This Row],[Next Key Date]]="",tblPriorities[[#This Row],[Next Key Date]]&lt;AsOf),"",SUMPRODUCT((tblPriorities[Open]=1)*(tblPriorities[Next Key Date]&lt;&gt;"")*(tblPriorities[Next Key Date]&gt;=AsOf)*(tblPriorities[Next Key Date]&lt;tblPriorities[[#This Row],[Next Key Date]]))+SUMPRODUCT((tblPriorities[Open]=1)*(tblPriorities[Next Key Date]&lt;&gt;"")*(tblPriorities[Next Key Date]&gt;=AsOf)*(tblPriorities[Next Key Date]=tblPriorities[[#This Row],[Next Key Date]])*(ROW(tblPriorities[ID])&lt;ROW()))+1)</f>
        <v/>
      </c>
    </row>
    <row r="9">
      <c r="A9" s="49" t="inlineStr">
        <is>
          <t>LEG-04</t>
        </is>
      </c>
      <c r="B9" s="49" t="inlineStr">
        <is>
          <t>Legislative</t>
        </is>
      </c>
      <c r="C9" s="27" t="inlineStr">
        <is>
          <t>Budget Item</t>
        </is>
      </c>
      <c r="D9" s="27" t="inlineStr">
        <is>
          <t>Supplemental appropriation for the State DOT local bridge program</t>
        </is>
      </c>
      <c r="E9" s="27" t="inlineStr">
        <is>
          <t>Marlow General Assembly</t>
        </is>
      </c>
      <c r="F9" s="49" t="inlineStr">
        <is>
          <t>State</t>
        </is>
      </c>
      <c r="G9" s="49" t="inlineStr">
        <is>
          <t>Support</t>
        </is>
      </c>
      <c r="H9" s="49" t="inlineStr">
        <is>
          <t>OBJ-3</t>
        </is>
      </c>
      <c r="I9" s="49" t="inlineStr">
        <is>
          <t>Jordan Pike</t>
        </is>
      </c>
      <c r="J9" s="27" t="inlineStr">
        <is>
          <t>Pending Action</t>
        </is>
      </c>
      <c r="K9" s="49" t="inlineStr">
        <is>
          <t>Cleared</t>
        </is>
      </c>
      <c r="L9" s="50" t="n">
        <v>46506</v>
      </c>
      <c r="M9" s="27" t="inlineStr">
        <is>
          <t>Session adjourns</t>
        </is>
      </c>
      <c r="N9" s="27" t="inlineStr">
        <is>
          <t>Funding available to support State DOT match for local bridge projects</t>
        </is>
      </c>
      <c r="O9" s="27" t="inlineStr">
        <is>
          <t>Not a County-specific request; coordinated through the Association of Counties.</t>
        </is>
      </c>
      <c r="P9" s="51">
        <f>IF(tblPriorities[[#This Row],[Next Key Date]]="","",tblPriorities[[#This Row],[Next Key Date]]-AsOf)</f>
        <v>21</v>
      </c>
      <c r="Q9" s="53" t="str">
        <f>IF(tblPriorities[[#This Row],[ID]]="","",IF(tblPriorities[[#This Row],[Next Key Date]]="","No Date",IF(tblPriorities[[#This Row],[Next Key Date]]&lt;AsOf,"Passed",IF(tblPriorities[[#This Row],[Next Key Date]]-AsOf&lt;=14,"Within 14 Days",IF(tblPriorities[[#This Row],[Next Key Date]]-AsOf&lt;=30,"Within 30 Days","Later")))))</f>
        <v>Within 30 Days</v>
      </c>
      <c r="R9" s="51">
        <f>IF(tblPriorities[[#This Row],[ID]]="",0,IF(OR(tblPriorities[[#This Row],[Stage]]="Resolved Favorable",tblPriorities[[#This Row],[Stage]]="Resolved Unfavorable",tblPriorities[[#This Row],[Stage]]="Inactive"),0,1))</f>
        <v>1</v>
      </c>
      <c r="S9" s="53" t="str">
        <f>IF(tblPriorities[[#This Row],[Open]]&lt;&gt;1,"",IF(AND(tblPriorities[[#This Row],[Our Position]]&lt;&gt;"Monitor",tblPriorities[[#This Row],[Clearance]]&lt;&gt;"Cleared"),"Clearance Needed",IF(tblPriorities[[#This Row],[Next Key Date]]="","",IF(tblPriorities[[#This Row],[Next Key Date]]&lt;AsOf,"Key Date Passed",IF(tblPriorities[[#This Row],[Next Key Date]]-AsOf&lt;=14,"Key Date Within 14 Days","")))))</f>
        <v/>
      </c>
      <c r="T9" s="51">
        <f>IF(tblPriorities[[#This Row],[ID]]="","",COUNTIFS(tblActions[Priority ID],tblPriorities[[#This Row],[ID]],tblActions[Status],"Planned")+COUNTIFS(tblActions[Priority ID],tblPriorities[[#This Row],[ID]],tblActions[Status],"In Progress"))</f>
        <v>0</v>
      </c>
      <c r="U9" s="51">
        <f>IF(OR(tblPriorities[[#This Row],[Open]]&lt;&gt;1,tblPriorities[[#This Row],[Next Key Date]]="",tblPriorities[[#This Row],[Next Key Date]]&lt;AsOf),"",SUMPRODUCT((tblPriorities[Open]=1)*(tblPriorities[Next Key Date]&lt;&gt;"")*(tblPriorities[Next Key Date]&gt;=AsOf)*(tblPriorities[Next Key Date]&lt;tblPriorities[[#This Row],[Next Key Date]]))+SUMPRODUCT((tblPriorities[Open]=1)*(tblPriorities[Next Key Date]&lt;&gt;"")*(tblPriorities[Next Key Date]&gt;=AsOf)*(tblPriorities[Next Key Date]=tblPriorities[[#This Row],[Next Key Date]])*(ROW(tblPriorities[ID])&lt;ROW()))+1)</f>
        <v>4</v>
      </c>
    </row>
    <row r="10">
      <c r="A10" s="49" t="inlineStr">
        <is>
          <t>LEG-05</t>
        </is>
      </c>
      <c r="B10" s="49" t="inlineStr">
        <is>
          <t>Legislative</t>
        </is>
      </c>
      <c r="C10" s="27" t="inlineStr">
        <is>
          <t>Other</t>
        </is>
      </c>
      <c r="D10" s="27" t="inlineStr">
        <is>
          <t>Federal appropriations and authorization changes affecting discretionary grant programs</t>
        </is>
      </c>
      <c r="E10" s="27" t="inlineStr">
        <is>
          <t>Congress</t>
        </is>
      </c>
      <c r="F10" s="49" t="inlineStr">
        <is>
          <t>Federal</t>
        </is>
      </c>
      <c r="G10" s="49" t="inlineStr">
        <is>
          <t>Monitor</t>
        </is>
      </c>
      <c r="H10" s="49" t="inlineStr">
        <is>
          <t>OBJ-3</t>
        </is>
      </c>
      <c r="I10" s="49" t="inlineStr">
        <is>
          <t>Samuel Ortega</t>
        </is>
      </c>
      <c r="J10" s="27" t="inlineStr">
        <is>
          <t>Pending Action</t>
        </is>
      </c>
      <c r="K10" s="49" t="inlineStr">
        <is>
          <t>Cleared</t>
        </is>
      </c>
      <c r="L10" s="50" t="n"/>
      <c r="M10" s="27" t="inlineStr">
        <is>
          <t>No date set</t>
        </is>
      </c>
      <c r="N10" s="27" t="inlineStr">
        <is>
          <t>Early notice of changes to match requirements or criteria</t>
        </is>
      </c>
      <c r="O10" s="27" t="inlineStr">
        <is>
          <t>Monitored through the delegation offices and trade groups.</t>
        </is>
      </c>
      <c r="P10" s="51" t="str">
        <f>IF(tblPriorities[[#This Row],[Next Key Date]]="","",tblPriorities[[#This Row],[Next Key Date]]-AsOf)</f>
        <v/>
      </c>
      <c r="Q10" s="53" t="str">
        <f>IF(tblPriorities[[#This Row],[ID]]="","",IF(tblPriorities[[#This Row],[Next Key Date]]="","No Date",IF(tblPriorities[[#This Row],[Next Key Date]]&lt;AsOf,"Passed",IF(tblPriorities[[#This Row],[Next Key Date]]-AsOf&lt;=14,"Within 14 Days",IF(tblPriorities[[#This Row],[Next Key Date]]-AsOf&lt;=30,"Within 30 Days","Later")))))</f>
        <v>No Date</v>
      </c>
      <c r="R10" s="51">
        <f>IF(tblPriorities[[#This Row],[ID]]="",0,IF(OR(tblPriorities[[#This Row],[Stage]]="Resolved Favorable",tblPriorities[[#This Row],[Stage]]="Resolved Unfavorable",tblPriorities[[#This Row],[Stage]]="Inactive"),0,1))</f>
        <v>1</v>
      </c>
      <c r="S10" s="53" t="str">
        <f>IF(tblPriorities[[#This Row],[Open]]&lt;&gt;1,"",IF(AND(tblPriorities[[#This Row],[Our Position]]&lt;&gt;"Monitor",tblPriorities[[#This Row],[Clearance]]&lt;&gt;"Cleared"),"Clearance Needed",IF(tblPriorities[[#This Row],[Next Key Date]]="","",IF(tblPriorities[[#This Row],[Next Key Date]]&lt;AsOf,"Key Date Passed",IF(tblPriorities[[#This Row],[Next Key Date]]-AsOf&lt;=14,"Key Date Within 14 Days","")))))</f>
        <v/>
      </c>
      <c r="T10" s="51">
        <f>IF(tblPriorities[[#This Row],[ID]]="","",COUNTIFS(tblActions[Priority ID],tblPriorities[[#This Row],[ID]],tblActions[Status],"Planned")+COUNTIFS(tblActions[Priority ID],tblPriorities[[#This Row],[ID]],tblActions[Status],"In Progress"))</f>
        <v>0</v>
      </c>
      <c r="U10" s="51" t="str">
        <f>IF(OR(tblPriorities[[#This Row],[Open]]&lt;&gt;1,tblPriorities[[#This Row],[Next Key Date]]="",tblPriorities[[#This Row],[Next Key Date]]&lt;AsOf),"",SUMPRODUCT((tblPriorities[Open]=1)*(tblPriorities[Next Key Date]&lt;&gt;"")*(tblPriorities[Next Key Date]&gt;=AsOf)*(tblPriorities[Next Key Date]&lt;tblPriorities[[#This Row],[Next Key Date]]))+SUMPRODUCT((tblPriorities[Open]=1)*(tblPriorities[Next Key Date]&lt;&gt;"")*(tblPriorities[Next Key Date]&gt;=AsOf)*(tblPriorities[Next Key Date]=tblPriorities[[#This Row],[Next Key Date]])*(ROW(tblPriorities[ID])&lt;ROW()))+1)</f>
        <v/>
      </c>
    </row>
    <row r="11">
      <c r="A11" s="49" t="inlineStr">
        <is>
          <t>ADM-01</t>
        </is>
      </c>
      <c r="B11" s="49" t="inlineStr">
        <is>
          <t>Administrative</t>
        </is>
      </c>
      <c r="C11" s="27" t="inlineStr">
        <is>
          <t>Grant or Funding</t>
        </is>
      </c>
      <c r="D11" s="27" t="inlineStr">
        <is>
          <t>Federal discretionary grant round for bridge replacement</t>
        </is>
      </c>
      <c r="E11" s="27" t="inlineStr">
        <is>
          <t>Federal regional office and headquarters</t>
        </is>
      </c>
      <c r="F11" s="49" t="inlineStr">
        <is>
          <t>Federal</t>
        </is>
      </c>
      <c r="G11" s="49" t="inlineStr">
        <is>
          <t>Seek</t>
        </is>
      </c>
      <c r="H11" s="49" t="inlineStr">
        <is>
          <t>OBJ-3</t>
        </is>
      </c>
      <c r="I11" s="49" t="inlineStr">
        <is>
          <t>Samuel Ortega</t>
        </is>
      </c>
      <c r="J11" s="27" t="inlineStr">
        <is>
          <t>Developing</t>
        </is>
      </c>
      <c r="K11" s="49" t="inlineStr">
        <is>
          <t>Cleared</t>
        </is>
      </c>
      <c r="L11" s="50" t="n">
        <v>46553</v>
      </c>
      <c r="M11" s="27" t="inlineStr">
        <is>
          <t>Assumed notice publication</t>
        </is>
      </c>
      <c r="N11" s="27" t="inlineStr">
        <is>
          <t>Complete application with committed match and delegation support</t>
        </is>
      </c>
      <c r="O11" s="27" t="inlineStr">
        <is>
          <t>Notice date and deadline are planning assumptions until the agency publishes them.</t>
        </is>
      </c>
      <c r="P11" s="51">
        <f>IF(tblPriorities[[#This Row],[Next Key Date]]="","",tblPriorities[[#This Row],[Next Key Date]]-AsOf)</f>
        <v>68</v>
      </c>
      <c r="Q11" s="53" t="str">
        <f>IF(tblPriorities[[#This Row],[ID]]="","",IF(tblPriorities[[#This Row],[Next Key Date]]="","No Date",IF(tblPriorities[[#This Row],[Next Key Date]]&lt;AsOf,"Passed",IF(tblPriorities[[#This Row],[Next Key Date]]-AsOf&lt;=14,"Within 14 Days",IF(tblPriorities[[#This Row],[Next Key Date]]-AsOf&lt;=30,"Within 30 Days","Later")))))</f>
        <v>Later</v>
      </c>
      <c r="R11" s="51">
        <f>IF(tblPriorities[[#This Row],[ID]]="",0,IF(OR(tblPriorities[[#This Row],[Stage]]="Resolved Favorable",tblPriorities[[#This Row],[Stage]]="Resolved Unfavorable",tblPriorities[[#This Row],[Stage]]="Inactive"),0,1))</f>
        <v>1</v>
      </c>
      <c r="S11" s="53" t="str">
        <f>IF(tblPriorities[[#This Row],[Open]]&lt;&gt;1,"",IF(AND(tblPriorities[[#This Row],[Our Position]]&lt;&gt;"Monitor",tblPriorities[[#This Row],[Clearance]]&lt;&gt;"Cleared"),"Clearance Needed",IF(tblPriorities[[#This Row],[Next Key Date]]="","",IF(tblPriorities[[#This Row],[Next Key Date]]&lt;AsOf,"Key Date Passed",IF(tblPriorities[[#This Row],[Next Key Date]]-AsOf&lt;=14,"Key Date Within 14 Days","")))))</f>
        <v/>
      </c>
      <c r="T11" s="51">
        <f>IF(tblPriorities[[#This Row],[ID]]="","",COUNTIFS(tblActions[Priority ID],tblPriorities[[#This Row],[ID]],tblActions[Status],"Planned")+COUNTIFS(tblActions[Priority ID],tblPriorities[[#This Row],[ID]],tblActions[Status],"In Progress"))</f>
        <v>3</v>
      </c>
      <c r="U11" s="51">
        <f>IF(OR(tblPriorities[[#This Row],[Open]]&lt;&gt;1,tblPriorities[[#This Row],[Next Key Date]]="",tblPriorities[[#This Row],[Next Key Date]]&lt;AsOf),"",SUMPRODUCT((tblPriorities[Open]=1)*(tblPriorities[Next Key Date]&lt;&gt;"")*(tblPriorities[Next Key Date]&gt;=AsOf)*(tblPriorities[Next Key Date]&lt;tblPriorities[[#This Row],[Next Key Date]]))+SUMPRODUCT((tblPriorities[Open]=1)*(tblPriorities[Next Key Date]&lt;&gt;"")*(tblPriorities[Next Key Date]&gt;=AsOf)*(tblPriorities[Next Key Date]=tblPriorities[[#This Row],[Next Key Date]])*(ROW(tblPriorities[ID])&lt;ROW()))+1)</f>
        <v>7</v>
      </c>
    </row>
    <row r="12">
      <c r="A12" s="49" t="inlineStr">
        <is>
          <t>ADM-02</t>
        </is>
      </c>
      <c r="B12" s="49" t="inlineStr">
        <is>
          <t>Administrative</t>
        </is>
      </c>
      <c r="C12" s="27" t="inlineStr">
        <is>
          <t>Grant or Funding</t>
        </is>
      </c>
      <c r="D12" s="27" t="inlineStr">
        <is>
          <t>State DOT local bridge program match commitment</t>
        </is>
      </c>
      <c r="E12" s="27" t="inlineStr">
        <is>
          <t>Marlow Department of Transportation</t>
        </is>
      </c>
      <c r="F12" s="49" t="inlineStr">
        <is>
          <t>State</t>
        </is>
      </c>
      <c r="G12" s="49" t="inlineStr">
        <is>
          <t>Seek</t>
        </is>
      </c>
      <c r="H12" s="49" t="inlineStr">
        <is>
          <t>OBJ-3</t>
        </is>
      </c>
      <c r="I12" s="49" t="inlineStr">
        <is>
          <t>Samuel Ortega</t>
        </is>
      </c>
      <c r="J12" s="27" t="inlineStr">
        <is>
          <t>Developing</t>
        </is>
      </c>
      <c r="K12" s="49" t="inlineStr">
        <is>
          <t>Cleared</t>
        </is>
      </c>
      <c r="L12" s="50" t="n">
        <v>46598</v>
      </c>
      <c r="M12" s="27" t="inlineStr">
        <is>
          <t>Written match commitment needed</t>
        </is>
      </c>
      <c r="N12" s="27" t="inlineStr">
        <is>
          <t>Written commitment of state match before the application is finalized</t>
        </is>
      </c>
      <c r="O12" s="27" t="inlineStr">
        <is>
          <t>State DOT requires an executed local agreement first.</t>
        </is>
      </c>
      <c r="P12" s="51">
        <f>IF(tblPriorities[[#This Row],[Next Key Date]]="","",tblPriorities[[#This Row],[Next Key Date]]-AsOf)</f>
        <v>113</v>
      </c>
      <c r="Q12" s="53" t="str">
        <f>IF(tblPriorities[[#This Row],[ID]]="","",IF(tblPriorities[[#This Row],[Next Key Date]]="","No Date",IF(tblPriorities[[#This Row],[Next Key Date]]&lt;AsOf,"Passed",IF(tblPriorities[[#This Row],[Next Key Date]]-AsOf&lt;=14,"Within 14 Days",IF(tblPriorities[[#This Row],[Next Key Date]]-AsOf&lt;=30,"Within 30 Days","Later")))))</f>
        <v>Later</v>
      </c>
      <c r="R12" s="51">
        <f>IF(tblPriorities[[#This Row],[ID]]="",0,IF(OR(tblPriorities[[#This Row],[Stage]]="Resolved Favorable",tblPriorities[[#This Row],[Stage]]="Resolved Unfavorable",tblPriorities[[#This Row],[Stage]]="Inactive"),0,1))</f>
        <v>1</v>
      </c>
      <c r="S12" s="53" t="str">
        <f>IF(tblPriorities[[#This Row],[Open]]&lt;&gt;1,"",IF(AND(tblPriorities[[#This Row],[Our Position]]&lt;&gt;"Monitor",tblPriorities[[#This Row],[Clearance]]&lt;&gt;"Cleared"),"Clearance Needed",IF(tblPriorities[[#This Row],[Next Key Date]]="","",IF(tblPriorities[[#This Row],[Next Key Date]]&lt;AsOf,"Key Date Passed",IF(tblPriorities[[#This Row],[Next Key Date]]-AsOf&lt;=14,"Key Date Within 14 Days","")))))</f>
        <v/>
      </c>
      <c r="T12" s="51">
        <f>IF(tblPriorities[[#This Row],[ID]]="","",COUNTIFS(tblActions[Priority ID],tblPriorities[[#This Row],[ID]],tblActions[Status],"Planned")+COUNTIFS(tblActions[Priority ID],tblPriorities[[#This Row],[ID]],tblActions[Status],"In Progress"))</f>
        <v>2</v>
      </c>
      <c r="U12" s="51">
        <f>IF(OR(tblPriorities[[#This Row],[Open]]&lt;&gt;1,tblPriorities[[#This Row],[Next Key Date]]="",tblPriorities[[#This Row],[Next Key Date]]&lt;AsOf),"",SUMPRODUCT((tblPriorities[Open]=1)*(tblPriorities[Next Key Date]&lt;&gt;"")*(tblPriorities[Next Key Date]&gt;=AsOf)*(tblPriorities[Next Key Date]&lt;tblPriorities[[#This Row],[Next Key Date]]))+SUMPRODUCT((tblPriorities[Open]=1)*(tblPriorities[Next Key Date]&lt;&gt;"")*(tblPriorities[Next Key Date]&gt;=AsOf)*(tblPriorities[Next Key Date]=tblPriorities[[#This Row],[Next Key Date]])*(ROW(tblPriorities[ID])&lt;ROW()))+1)</f>
        <v>9</v>
      </c>
    </row>
    <row r="13">
      <c r="A13" s="49" t="inlineStr">
        <is>
          <t>ADM-03</t>
        </is>
      </c>
      <c r="B13" s="49" t="inlineStr">
        <is>
          <t>Administrative</t>
        </is>
      </c>
      <c r="C13" s="27" t="inlineStr">
        <is>
          <t>Permit or Approval</t>
        </is>
      </c>
      <c r="D13" s="27" t="inlineStr">
        <is>
          <t>Federal environmental review scoping for the bridge corridor</t>
        </is>
      </c>
      <c r="E13" s="27" t="inlineStr">
        <is>
          <t>Federal lead agency</t>
        </is>
      </c>
      <c r="F13" s="49" t="inlineStr">
        <is>
          <t>Federal</t>
        </is>
      </c>
      <c r="G13" s="49" t="inlineStr">
        <is>
          <t>Seek</t>
        </is>
      </c>
      <c r="H13" s="49" t="inlineStr">
        <is>
          <t>OBJ-5</t>
        </is>
      </c>
      <c r="I13" s="49" t="inlineStr">
        <is>
          <t>Elena Marsh</t>
        </is>
      </c>
      <c r="J13" s="27" t="inlineStr">
        <is>
          <t>Developing</t>
        </is>
      </c>
      <c r="K13" s="49" t="inlineStr">
        <is>
          <t>Cleared</t>
        </is>
      </c>
      <c r="L13" s="50" t="n">
        <v>46584</v>
      </c>
      <c r="M13" s="27" t="inlineStr">
        <is>
          <t>Concerns documented with lead agency</t>
        </is>
      </c>
      <c r="N13" s="27" t="inlineStr">
        <is>
          <t>Tribal Nation's corridor concerns documented and conveyed before scoping closes</t>
        </is>
      </c>
      <c r="O13" s="27" t="inlineStr">
        <is>
          <t>The lead agency decides consultation steps. County role is to coordinate early and supply information.</t>
        </is>
      </c>
      <c r="P13" s="51">
        <f>IF(tblPriorities[[#This Row],[Next Key Date]]="","",tblPriorities[[#This Row],[Next Key Date]]-AsOf)</f>
        <v>99</v>
      </c>
      <c r="Q13" s="53" t="str">
        <f>IF(tblPriorities[[#This Row],[ID]]="","",IF(tblPriorities[[#This Row],[Next Key Date]]="","No Date",IF(tblPriorities[[#This Row],[Next Key Date]]&lt;AsOf,"Passed",IF(tblPriorities[[#This Row],[Next Key Date]]-AsOf&lt;=14,"Within 14 Days",IF(tblPriorities[[#This Row],[Next Key Date]]-AsOf&lt;=30,"Within 30 Days","Later")))))</f>
        <v>Later</v>
      </c>
      <c r="R13" s="51">
        <f>IF(tblPriorities[[#This Row],[ID]]="",0,IF(OR(tblPriorities[[#This Row],[Stage]]="Resolved Favorable",tblPriorities[[#This Row],[Stage]]="Resolved Unfavorable",tblPriorities[[#This Row],[Stage]]="Inactive"),0,1))</f>
        <v>1</v>
      </c>
      <c r="S13" s="53" t="str">
        <f>IF(tblPriorities[[#This Row],[Open]]&lt;&gt;1,"",IF(AND(tblPriorities[[#This Row],[Our Position]]&lt;&gt;"Monitor",tblPriorities[[#This Row],[Clearance]]&lt;&gt;"Cleared"),"Clearance Needed",IF(tblPriorities[[#This Row],[Next Key Date]]="","",IF(tblPriorities[[#This Row],[Next Key Date]]&lt;AsOf,"Key Date Passed",IF(tblPriorities[[#This Row],[Next Key Date]]-AsOf&lt;=14,"Key Date Within 14 Days","")))))</f>
        <v/>
      </c>
      <c r="T13" s="51">
        <f>IF(tblPriorities[[#This Row],[ID]]="","",COUNTIFS(tblActions[Priority ID],tblPriorities[[#This Row],[ID]],tblActions[Status],"Planned")+COUNTIFS(tblActions[Priority ID],tblPriorities[[#This Row],[ID]],tblActions[Status],"In Progress"))</f>
        <v>2</v>
      </c>
      <c r="U13" s="51">
        <f>IF(OR(tblPriorities[[#This Row],[Open]]&lt;&gt;1,tblPriorities[[#This Row],[Next Key Date]]="",tblPriorities[[#This Row],[Next Key Date]]&lt;AsOf),"",SUMPRODUCT((tblPriorities[Open]=1)*(tblPriorities[Next Key Date]&lt;&gt;"")*(tblPriorities[Next Key Date]&gt;=AsOf)*(tblPriorities[Next Key Date]&lt;tblPriorities[[#This Row],[Next Key Date]]))+SUMPRODUCT((tblPriorities[Open]=1)*(tblPriorities[Next Key Date]&lt;&gt;"")*(tblPriorities[Next Key Date]&gt;=AsOf)*(tblPriorities[Next Key Date]=tblPriorities[[#This Row],[Next Key Date]])*(ROW(tblPriorities[ID])&lt;ROW()))+1)</f>
        <v>8</v>
      </c>
    </row>
    <row r="14">
      <c r="A14" s="49" t="inlineStr">
        <is>
          <t>ADM-04</t>
        </is>
      </c>
      <c r="B14" s="49" t="inlineStr">
        <is>
          <t>Administrative</t>
        </is>
      </c>
      <c r="C14" s="27" t="inlineStr">
        <is>
          <t>Agreement</t>
        </is>
      </c>
      <c r="D14" s="27" t="inlineStr">
        <is>
          <t>Bridge interlocal agreement cost allocation</t>
        </is>
      </c>
      <c r="E14" s="27" t="inlineStr">
        <is>
          <t>Riverton City; River Valley Transit Authority</t>
        </is>
      </c>
      <c r="F14" s="49" t="inlineStr">
        <is>
          <t>Municipal</t>
        </is>
      </c>
      <c r="G14" s="49" t="inlineStr">
        <is>
          <t>Seek</t>
        </is>
      </c>
      <c r="H14" s="49" t="inlineStr">
        <is>
          <t>OBJ-4</t>
        </is>
      </c>
      <c r="I14" s="49" t="inlineStr">
        <is>
          <t>Alicia Brandt</t>
        </is>
      </c>
      <c r="J14" s="27" t="inlineStr">
        <is>
          <t>Active Consideration</t>
        </is>
      </c>
      <c r="K14" s="49" t="inlineStr">
        <is>
          <t>Cleared</t>
        </is>
      </c>
      <c r="L14" s="50" t="n">
        <v>46507</v>
      </c>
      <c r="M14" s="27" t="inlineStr">
        <is>
          <t>Term sheet target (revised to May 14)</t>
        </is>
      </c>
      <c r="N14" s="27" t="inlineStr">
        <is>
          <t>An allocation within the range authorized by the Deputy County Executive</t>
        </is>
      </c>
      <c r="O14" s="27" t="inlineStr">
        <is>
          <t>Deputy County Executive authorized a negotiating range on Apr 1.</t>
        </is>
      </c>
      <c r="P14" s="51">
        <f>IF(tblPriorities[[#This Row],[Next Key Date]]="","",tblPriorities[[#This Row],[Next Key Date]]-AsOf)</f>
        <v>22</v>
      </c>
      <c r="Q14" s="53" t="str">
        <f>IF(tblPriorities[[#This Row],[ID]]="","",IF(tblPriorities[[#This Row],[Next Key Date]]="","No Date",IF(tblPriorities[[#This Row],[Next Key Date]]&lt;AsOf,"Passed",IF(tblPriorities[[#This Row],[Next Key Date]]-AsOf&lt;=14,"Within 14 Days",IF(tblPriorities[[#This Row],[Next Key Date]]-AsOf&lt;=30,"Within 30 Days","Later")))))</f>
        <v>Within 30 Days</v>
      </c>
      <c r="R14" s="51">
        <f>IF(tblPriorities[[#This Row],[ID]]="",0,IF(OR(tblPriorities[[#This Row],[Stage]]="Resolved Favorable",tblPriorities[[#This Row],[Stage]]="Resolved Unfavorable",tblPriorities[[#This Row],[Stage]]="Inactive"),0,1))</f>
        <v>1</v>
      </c>
      <c r="S14" s="53" t="str">
        <f>IF(tblPriorities[[#This Row],[Open]]&lt;&gt;1,"",IF(AND(tblPriorities[[#This Row],[Our Position]]&lt;&gt;"Monitor",tblPriorities[[#This Row],[Clearance]]&lt;&gt;"Cleared"),"Clearance Needed",IF(tblPriorities[[#This Row],[Next Key Date]]="","",IF(tblPriorities[[#This Row],[Next Key Date]]&lt;AsOf,"Key Date Passed",IF(tblPriorities[[#This Row],[Next Key Date]]-AsOf&lt;=14,"Key Date Within 14 Days","")))))</f>
        <v/>
      </c>
      <c r="T14" s="51">
        <f>IF(tblPriorities[[#This Row],[ID]]="","",COUNTIFS(tblActions[Priority ID],tblPriorities[[#This Row],[ID]],tblActions[Status],"Planned")+COUNTIFS(tblActions[Priority ID],tblPriorities[[#This Row],[ID]],tblActions[Status],"In Progress"))</f>
        <v>1</v>
      </c>
      <c r="U14" s="51">
        <f>IF(OR(tblPriorities[[#This Row],[Open]]&lt;&gt;1,tblPriorities[[#This Row],[Next Key Date]]="",tblPriorities[[#This Row],[Next Key Date]]&lt;AsOf),"",SUMPRODUCT((tblPriorities[Open]=1)*(tblPriorities[Next Key Date]&lt;&gt;"")*(tblPriorities[Next Key Date]&gt;=AsOf)*(tblPriorities[Next Key Date]&lt;tblPriorities[[#This Row],[Next Key Date]]))+SUMPRODUCT((tblPriorities[Open]=1)*(tblPriorities[Next Key Date]&lt;&gt;"")*(tblPriorities[Next Key Date]&gt;=AsOf)*(tblPriorities[Next Key Date]=tblPriorities[[#This Row],[Next Key Date]])*(ROW(tblPriorities[ID])&lt;ROW()))+1)</f>
        <v>5</v>
      </c>
    </row>
    <row r="15">
      <c r="A15" s="49" t="inlineStr">
        <is>
          <t>ADM-05</t>
        </is>
      </c>
      <c r="B15" s="49" t="inlineStr">
        <is>
          <t>Administrative</t>
        </is>
      </c>
      <c r="C15" s="27" t="inlineStr">
        <is>
          <t>Rulemaking</t>
        </is>
      </c>
      <c r="D15" s="27" t="inlineStr">
        <is>
          <t>State stormwater general permit revision</t>
        </is>
      </c>
      <c r="E15" s="27" t="inlineStr">
        <is>
          <t>State environmental permitting agency</t>
        </is>
      </c>
      <c r="F15" s="49" t="inlineStr">
        <is>
          <t>State</t>
        </is>
      </c>
      <c r="G15" s="49" t="inlineStr">
        <is>
          <t>Amend</t>
        </is>
      </c>
      <c r="H15" s="49" t="inlineStr">
        <is>
          <t>OBJ-2</t>
        </is>
      </c>
      <c r="I15" s="49" t="inlineStr">
        <is>
          <t>Jordan Pike</t>
        </is>
      </c>
      <c r="J15" s="27" t="inlineStr">
        <is>
          <t>Active Consideration</t>
        </is>
      </c>
      <c r="K15" s="49" t="inlineStr">
        <is>
          <t>Cleared</t>
        </is>
      </c>
      <c r="L15" s="50" t="n">
        <v>46514</v>
      </c>
      <c r="M15" s="27" t="inlineStr">
        <is>
          <t>Comment period closes</t>
        </is>
      </c>
      <c r="N15" s="27" t="inlineStr">
        <is>
          <t>Rule language that does not reduce county authority to apply stricter standards</t>
        </is>
      </c>
      <c r="O15" s="27" t="inlineStr">
        <is>
          <t>If HB 388 is enacted with the opt-out, comments focus on implementation. If not, they focus on authority.</t>
        </is>
      </c>
      <c r="P15" s="51">
        <f>IF(tblPriorities[[#This Row],[Next Key Date]]="","",tblPriorities[[#This Row],[Next Key Date]]-AsOf)</f>
        <v>29</v>
      </c>
      <c r="Q15" s="53" t="str">
        <f>IF(tblPriorities[[#This Row],[ID]]="","",IF(tblPriorities[[#This Row],[Next Key Date]]="","No Date",IF(tblPriorities[[#This Row],[Next Key Date]]&lt;AsOf,"Passed",IF(tblPriorities[[#This Row],[Next Key Date]]-AsOf&lt;=14,"Within 14 Days",IF(tblPriorities[[#This Row],[Next Key Date]]-AsOf&lt;=30,"Within 30 Days","Later")))))</f>
        <v>Within 30 Days</v>
      </c>
      <c r="R15" s="51">
        <f>IF(tblPriorities[[#This Row],[ID]]="",0,IF(OR(tblPriorities[[#This Row],[Stage]]="Resolved Favorable",tblPriorities[[#This Row],[Stage]]="Resolved Unfavorable",tblPriorities[[#This Row],[Stage]]="Inactive"),0,1))</f>
        <v>1</v>
      </c>
      <c r="S15" s="53" t="str">
        <f>IF(tblPriorities[[#This Row],[Open]]&lt;&gt;1,"",IF(AND(tblPriorities[[#This Row],[Our Position]]&lt;&gt;"Monitor",tblPriorities[[#This Row],[Clearance]]&lt;&gt;"Cleared"),"Clearance Needed",IF(tblPriorities[[#This Row],[Next Key Date]]="","",IF(tblPriorities[[#This Row],[Next Key Date]]&lt;AsOf,"Key Date Passed",IF(tblPriorities[[#This Row],[Next Key Date]]-AsOf&lt;=14,"Key Date Within 14 Days","")))))</f>
        <v/>
      </c>
      <c r="T15" s="51">
        <f>IF(tblPriorities[[#This Row],[ID]]="","",COUNTIFS(tblActions[Priority ID],tblPriorities[[#This Row],[ID]],tblActions[Status],"Planned")+COUNTIFS(tblActions[Priority ID],tblPriorities[[#This Row],[ID]],tblActions[Status],"In Progress"))</f>
        <v>1</v>
      </c>
      <c r="U15" s="51">
        <f>IF(OR(tblPriorities[[#This Row],[Open]]&lt;&gt;1,tblPriorities[[#This Row],[Next Key Date]]="",tblPriorities[[#This Row],[Next Key Date]]&lt;AsOf),"",SUMPRODUCT((tblPriorities[Open]=1)*(tblPriorities[Next Key Date]&lt;&gt;"")*(tblPriorities[Next Key Date]&gt;=AsOf)*(tblPriorities[Next Key Date]&lt;tblPriorities[[#This Row],[Next Key Date]]))+SUMPRODUCT((tblPriorities[Open]=1)*(tblPriorities[Next Key Date]&lt;&gt;"")*(tblPriorities[Next Key Date]&gt;=AsOf)*(tblPriorities[Next Key Date]=tblPriorities[[#This Row],[Next Key Date]])*(ROW(tblPriorities[ID])&lt;ROW()))+1)</f>
        <v>6</v>
      </c>
    </row>
    <row r="16">
      <c r="A16" s="49" t="inlineStr">
        <is>
          <t>ADM-06</t>
        </is>
      </c>
      <c r="B16" s="49" t="inlineStr">
        <is>
          <t>Administrative</t>
        </is>
      </c>
      <c r="C16" s="27" t="inlineStr">
        <is>
          <t>Policy Guidance</t>
        </is>
      </c>
      <c r="D16" s="27" t="inlineStr">
        <is>
          <t>Governor's office position on SB 214</t>
        </is>
      </c>
      <c r="E16" s="27" t="inlineStr">
        <is>
          <t>Governor's Office</t>
        </is>
      </c>
      <c r="F16" s="49" t="inlineStr">
        <is>
          <t>State</t>
        </is>
      </c>
      <c r="G16" s="49" t="inlineStr">
        <is>
          <t>Seek</t>
        </is>
      </c>
      <c r="H16" s="49" t="inlineStr">
        <is>
          <t>OBJ-1</t>
        </is>
      </c>
      <c r="I16" s="49" t="inlineStr">
        <is>
          <t>Elena Marsh</t>
        </is>
      </c>
      <c r="J16" s="27" t="inlineStr">
        <is>
          <t>Developing</t>
        </is>
      </c>
      <c r="K16" s="49" t="inlineStr">
        <is>
          <t>Cleared</t>
        </is>
      </c>
      <c r="L16" s="50" t="n">
        <v>46499</v>
      </c>
      <c r="M16" s="27" t="inlineStr">
        <is>
          <t>Policy staff briefing</t>
        </is>
      </c>
      <c r="N16" s="27" t="inlineStr">
        <is>
          <t>A signal on signature before the bill reaches the governor</t>
        </is>
      </c>
      <c r="O16" s="27" t="inlineStr">
        <is>
          <t>Governor has 30 days after presentment to act (fictional rule for this example).</t>
        </is>
      </c>
      <c r="P16" s="51">
        <f>IF(tblPriorities[[#This Row],[Next Key Date]]="","",tblPriorities[[#This Row],[Next Key Date]]-AsOf)</f>
        <v>14</v>
      </c>
      <c r="Q16" s="53" t="str">
        <f>IF(tblPriorities[[#This Row],[ID]]="","",IF(tblPriorities[[#This Row],[Next Key Date]]="","No Date",IF(tblPriorities[[#This Row],[Next Key Date]]&lt;AsOf,"Passed",IF(tblPriorities[[#This Row],[Next Key Date]]-AsOf&lt;=14,"Within 14 Days",IF(tblPriorities[[#This Row],[Next Key Date]]-AsOf&lt;=30,"Within 30 Days","Later")))))</f>
        <v>Within 14 Days</v>
      </c>
      <c r="R16" s="51">
        <f>IF(tblPriorities[[#This Row],[ID]]="",0,IF(OR(tblPriorities[[#This Row],[Stage]]="Resolved Favorable",tblPriorities[[#This Row],[Stage]]="Resolved Unfavorable",tblPriorities[[#This Row],[Stage]]="Inactive"),0,1))</f>
        <v>1</v>
      </c>
      <c r="S16" s="53" t="str">
        <f>IF(tblPriorities[[#This Row],[Open]]&lt;&gt;1,"",IF(AND(tblPriorities[[#This Row],[Our Position]]&lt;&gt;"Monitor",tblPriorities[[#This Row],[Clearance]]&lt;&gt;"Cleared"),"Clearance Needed",IF(tblPriorities[[#This Row],[Next Key Date]]="","",IF(tblPriorities[[#This Row],[Next Key Date]]&lt;AsOf,"Key Date Passed",IF(tblPriorities[[#This Row],[Next Key Date]]-AsOf&lt;=14,"Key Date Within 14 Days","")))))</f>
        <v>Key Date Within 14 Days</v>
      </c>
      <c r="T16" s="51">
        <f>IF(tblPriorities[[#This Row],[ID]]="","",COUNTIFS(tblActions[Priority ID],tblPriorities[[#This Row],[ID]],tblActions[Status],"Planned")+COUNTIFS(tblActions[Priority ID],tblPriorities[[#This Row],[ID]],tblActions[Status],"In Progress"))</f>
        <v>1</v>
      </c>
      <c r="U16" s="51">
        <f>IF(OR(tblPriorities[[#This Row],[Open]]&lt;&gt;1,tblPriorities[[#This Row],[Next Key Date]]="",tblPriorities[[#This Row],[Next Key Date]]&lt;AsOf),"",SUMPRODUCT((tblPriorities[Open]=1)*(tblPriorities[Next Key Date]&lt;&gt;"")*(tblPriorities[Next Key Date]&gt;=AsOf)*(tblPriorities[Next Key Date]&lt;tblPriorities[[#This Row],[Next Key Date]]))+SUMPRODUCT((tblPriorities[Open]=1)*(tblPriorities[Next Key Date]&lt;&gt;"")*(tblPriorities[Next Key Date]&gt;=AsOf)*(tblPriorities[Next Key Date]=tblPriorities[[#This Row],[Next Key Date]])*(ROW(tblPriorities[ID])&lt;ROW()))+1)</f>
        <v>3</v>
      </c>
    </row>
    <row r="17">
      <c r="A17" s="49" t="n"/>
      <c r="B17" s="49" t="n"/>
      <c r="C17" s="27" t="n"/>
      <c r="D17" s="27" t="n"/>
      <c r="E17" s="27" t="n"/>
      <c r="F17" s="49" t="n"/>
      <c r="G17" s="49" t="n"/>
      <c r="H17" s="49" t="n"/>
      <c r="I17" s="49" t="n"/>
      <c r="J17" s="27" t="n"/>
      <c r="K17" s="49" t="n"/>
      <c r="L17" s="50" t="n"/>
      <c r="M17" s="27" t="n"/>
      <c r="N17" s="27" t="n"/>
      <c r="O17" s="27" t="n"/>
      <c r="P17" s="51" t="str">
        <f>IF(tblPriorities[[#This Row],[Next Key Date]]="","",tblPriorities[[#This Row],[Next Key Date]]-AsOf)</f>
        <v/>
      </c>
      <c r="Q17" s="53" t="str">
        <f>IF(tblPriorities[[#This Row],[ID]]="","",IF(tblPriorities[[#This Row],[Next Key Date]]="","No Date",IF(tblPriorities[[#This Row],[Next Key Date]]&lt;AsOf,"Passed",IF(tblPriorities[[#This Row],[Next Key Date]]-AsOf&lt;=14,"Within 14 Days",IF(tblPriorities[[#This Row],[Next Key Date]]-AsOf&lt;=30,"Within 30 Days","Later")))))</f>
        <v/>
      </c>
      <c r="R17" s="51">
        <f>IF(tblPriorities[[#This Row],[ID]]="",0,IF(OR(tblPriorities[[#This Row],[Stage]]="Resolved Favorable",tblPriorities[[#This Row],[Stage]]="Resolved Unfavorable",tblPriorities[[#This Row],[Stage]]="Inactive"),0,1))</f>
        <v>0</v>
      </c>
      <c r="S17" s="53" t="str">
        <f>IF(tblPriorities[[#This Row],[Open]]&lt;&gt;1,"",IF(AND(tblPriorities[[#This Row],[Our Position]]&lt;&gt;"Monitor",tblPriorities[[#This Row],[Clearance]]&lt;&gt;"Cleared"),"Clearance Needed",IF(tblPriorities[[#This Row],[Next Key Date]]="","",IF(tblPriorities[[#This Row],[Next Key Date]]&lt;AsOf,"Key Date Passed",IF(tblPriorities[[#This Row],[Next Key Date]]-AsOf&lt;=14,"Key Date Within 14 Days","")))))</f>
        <v/>
      </c>
      <c r="T17" s="51" t="str">
        <f>IF(tblPriorities[[#This Row],[ID]]="","",COUNTIFS(tblActions[Priority ID],tblPriorities[[#This Row],[ID]],tblActions[Status],"Planned")+COUNTIFS(tblActions[Priority ID],tblPriorities[[#This Row],[ID]],tblActions[Status],"In Progress"))</f>
        <v/>
      </c>
      <c r="U17" s="51" t="str">
        <f>IF(OR(tblPriorities[[#This Row],[Open]]&lt;&gt;1,tblPriorities[[#This Row],[Next Key Date]]="",tblPriorities[[#This Row],[Next Key Date]]&lt;AsOf),"",SUMPRODUCT((tblPriorities[Open]=1)*(tblPriorities[Next Key Date]&lt;&gt;"")*(tblPriorities[Next Key Date]&gt;=AsOf)*(tblPriorities[Next Key Date]&lt;tblPriorities[[#This Row],[Next Key Date]]))+SUMPRODUCT((tblPriorities[Open]=1)*(tblPriorities[Next Key Date]&lt;&gt;"")*(tblPriorities[Next Key Date]&gt;=AsOf)*(tblPriorities[Next Key Date]=tblPriorities[[#This Row],[Next Key Date]])*(ROW(tblPriorities[ID])&lt;ROW()))+1)</f>
        <v/>
      </c>
    </row>
    <row r="18">
      <c r="A18" s="49" t="n"/>
      <c r="B18" s="49" t="n"/>
      <c r="C18" s="27" t="n"/>
      <c r="D18" s="27" t="n"/>
      <c r="E18" s="27" t="n"/>
      <c r="F18" s="49" t="n"/>
      <c r="G18" s="49" t="n"/>
      <c r="H18" s="49" t="n"/>
      <c r="I18" s="49" t="n"/>
      <c r="J18" s="27" t="n"/>
      <c r="K18" s="49" t="n"/>
      <c r="L18" s="50" t="n"/>
      <c r="M18" s="27" t="n"/>
      <c r="N18" s="27" t="n"/>
      <c r="O18" s="27" t="n"/>
      <c r="P18" s="51" t="str">
        <f>IF(tblPriorities[[#This Row],[Next Key Date]]="","",tblPriorities[[#This Row],[Next Key Date]]-AsOf)</f>
        <v/>
      </c>
      <c r="Q18" s="53" t="str">
        <f>IF(tblPriorities[[#This Row],[ID]]="","",IF(tblPriorities[[#This Row],[Next Key Date]]="","No Date",IF(tblPriorities[[#This Row],[Next Key Date]]&lt;AsOf,"Passed",IF(tblPriorities[[#This Row],[Next Key Date]]-AsOf&lt;=14,"Within 14 Days",IF(tblPriorities[[#This Row],[Next Key Date]]-AsOf&lt;=30,"Within 30 Days","Later")))))</f>
        <v/>
      </c>
      <c r="R18" s="51">
        <f>IF(tblPriorities[[#This Row],[ID]]="",0,IF(OR(tblPriorities[[#This Row],[Stage]]="Resolved Favorable",tblPriorities[[#This Row],[Stage]]="Resolved Unfavorable",tblPriorities[[#This Row],[Stage]]="Inactive"),0,1))</f>
        <v>0</v>
      </c>
      <c r="S18" s="53" t="str">
        <f>IF(tblPriorities[[#This Row],[Open]]&lt;&gt;1,"",IF(AND(tblPriorities[[#This Row],[Our Position]]&lt;&gt;"Monitor",tblPriorities[[#This Row],[Clearance]]&lt;&gt;"Cleared"),"Clearance Needed",IF(tblPriorities[[#This Row],[Next Key Date]]="","",IF(tblPriorities[[#This Row],[Next Key Date]]&lt;AsOf,"Key Date Passed",IF(tblPriorities[[#This Row],[Next Key Date]]-AsOf&lt;=14,"Key Date Within 14 Days","")))))</f>
        <v/>
      </c>
      <c r="T18" s="51" t="str">
        <f>IF(tblPriorities[[#This Row],[ID]]="","",COUNTIFS(tblActions[Priority ID],tblPriorities[[#This Row],[ID]],tblActions[Status],"Planned")+COUNTIFS(tblActions[Priority ID],tblPriorities[[#This Row],[ID]],tblActions[Status],"In Progress"))</f>
        <v/>
      </c>
      <c r="U18" s="51" t="str">
        <f>IF(OR(tblPriorities[[#This Row],[Open]]&lt;&gt;1,tblPriorities[[#This Row],[Next Key Date]]="",tblPriorities[[#This Row],[Next Key Date]]&lt;AsOf),"",SUMPRODUCT((tblPriorities[Open]=1)*(tblPriorities[Next Key Date]&lt;&gt;"")*(tblPriorities[Next Key Date]&gt;=AsOf)*(tblPriorities[Next Key Date]&lt;tblPriorities[[#This Row],[Next Key Date]]))+SUMPRODUCT((tblPriorities[Open]=1)*(tblPriorities[Next Key Date]&lt;&gt;"")*(tblPriorities[Next Key Date]&gt;=AsOf)*(tblPriorities[Next Key Date]=tblPriorities[[#This Row],[Next Key Date]])*(ROW(tblPriorities[ID])&lt;ROW()))+1)</f>
        <v/>
      </c>
    </row>
    <row r="19">
      <c r="A19" s="49" t="n"/>
      <c r="B19" s="49" t="n"/>
      <c r="C19" s="27" t="n"/>
      <c r="D19" s="27" t="n"/>
      <c r="E19" s="27" t="n"/>
      <c r="F19" s="49" t="n"/>
      <c r="G19" s="49" t="n"/>
      <c r="H19" s="49" t="n"/>
      <c r="I19" s="49" t="n"/>
      <c r="J19" s="27" t="n"/>
      <c r="K19" s="49" t="n"/>
      <c r="L19" s="50" t="n"/>
      <c r="M19" s="27" t="n"/>
      <c r="N19" s="27" t="n"/>
      <c r="O19" s="27" t="n"/>
      <c r="P19" s="51" t="str">
        <f>IF(tblPriorities[[#This Row],[Next Key Date]]="","",tblPriorities[[#This Row],[Next Key Date]]-AsOf)</f>
        <v/>
      </c>
      <c r="Q19" s="53" t="str">
        <f>IF(tblPriorities[[#This Row],[ID]]="","",IF(tblPriorities[[#This Row],[Next Key Date]]="","No Date",IF(tblPriorities[[#This Row],[Next Key Date]]&lt;AsOf,"Passed",IF(tblPriorities[[#This Row],[Next Key Date]]-AsOf&lt;=14,"Within 14 Days",IF(tblPriorities[[#This Row],[Next Key Date]]-AsOf&lt;=30,"Within 30 Days","Later")))))</f>
        <v/>
      </c>
      <c r="R19" s="51">
        <f>IF(tblPriorities[[#This Row],[ID]]="",0,IF(OR(tblPriorities[[#This Row],[Stage]]="Resolved Favorable",tblPriorities[[#This Row],[Stage]]="Resolved Unfavorable",tblPriorities[[#This Row],[Stage]]="Inactive"),0,1))</f>
        <v>0</v>
      </c>
      <c r="S19" s="53" t="str">
        <f>IF(tblPriorities[[#This Row],[Open]]&lt;&gt;1,"",IF(AND(tblPriorities[[#This Row],[Our Position]]&lt;&gt;"Monitor",tblPriorities[[#This Row],[Clearance]]&lt;&gt;"Cleared"),"Clearance Needed",IF(tblPriorities[[#This Row],[Next Key Date]]="","",IF(tblPriorities[[#This Row],[Next Key Date]]&lt;AsOf,"Key Date Passed",IF(tblPriorities[[#This Row],[Next Key Date]]-AsOf&lt;=14,"Key Date Within 14 Days","")))))</f>
        <v/>
      </c>
      <c r="T19" s="51" t="str">
        <f>IF(tblPriorities[[#This Row],[ID]]="","",COUNTIFS(tblActions[Priority ID],tblPriorities[[#This Row],[ID]],tblActions[Status],"Planned")+COUNTIFS(tblActions[Priority ID],tblPriorities[[#This Row],[ID]],tblActions[Status],"In Progress"))</f>
        <v/>
      </c>
      <c r="U19" s="51" t="str">
        <f>IF(OR(tblPriorities[[#This Row],[Open]]&lt;&gt;1,tblPriorities[[#This Row],[Next Key Date]]="",tblPriorities[[#This Row],[Next Key Date]]&lt;AsOf),"",SUMPRODUCT((tblPriorities[Open]=1)*(tblPriorities[Next Key Date]&lt;&gt;"")*(tblPriorities[Next Key Date]&gt;=AsOf)*(tblPriorities[Next Key Date]&lt;tblPriorities[[#This Row],[Next Key Date]]))+SUMPRODUCT((tblPriorities[Open]=1)*(tblPriorities[Next Key Date]&lt;&gt;"")*(tblPriorities[Next Key Date]&gt;=AsOf)*(tblPriorities[Next Key Date]=tblPriorities[[#This Row],[Next Key Date]])*(ROW(tblPriorities[ID])&lt;ROW()))+1)</f>
        <v/>
      </c>
    </row>
    <row r="20">
      <c r="A20" s="49" t="n"/>
      <c r="B20" s="49" t="n"/>
      <c r="C20" s="27" t="n"/>
      <c r="D20" s="27" t="n"/>
      <c r="E20" s="27" t="n"/>
      <c r="F20" s="49" t="n"/>
      <c r="G20" s="49" t="n"/>
      <c r="H20" s="49" t="n"/>
      <c r="I20" s="49" t="n"/>
      <c r="J20" s="27" t="n"/>
      <c r="K20" s="49" t="n"/>
      <c r="L20" s="50" t="n"/>
      <c r="M20" s="27" t="n"/>
      <c r="N20" s="27" t="n"/>
      <c r="O20" s="27" t="n"/>
      <c r="P20" s="51" t="str">
        <f>IF(tblPriorities[[#This Row],[Next Key Date]]="","",tblPriorities[[#This Row],[Next Key Date]]-AsOf)</f>
        <v/>
      </c>
      <c r="Q20" s="53" t="str">
        <f>IF(tblPriorities[[#This Row],[ID]]="","",IF(tblPriorities[[#This Row],[Next Key Date]]="","No Date",IF(tblPriorities[[#This Row],[Next Key Date]]&lt;AsOf,"Passed",IF(tblPriorities[[#This Row],[Next Key Date]]-AsOf&lt;=14,"Within 14 Days",IF(tblPriorities[[#This Row],[Next Key Date]]-AsOf&lt;=30,"Within 30 Days","Later")))))</f>
        <v/>
      </c>
      <c r="R20" s="51">
        <f>IF(tblPriorities[[#This Row],[ID]]="",0,IF(OR(tblPriorities[[#This Row],[Stage]]="Resolved Favorable",tblPriorities[[#This Row],[Stage]]="Resolved Unfavorable",tblPriorities[[#This Row],[Stage]]="Inactive"),0,1))</f>
        <v>0</v>
      </c>
      <c r="S20" s="53" t="str">
        <f>IF(tblPriorities[[#This Row],[Open]]&lt;&gt;1,"",IF(AND(tblPriorities[[#This Row],[Our Position]]&lt;&gt;"Monitor",tblPriorities[[#This Row],[Clearance]]&lt;&gt;"Cleared"),"Clearance Needed",IF(tblPriorities[[#This Row],[Next Key Date]]="","",IF(tblPriorities[[#This Row],[Next Key Date]]&lt;AsOf,"Key Date Passed",IF(tblPriorities[[#This Row],[Next Key Date]]-AsOf&lt;=14,"Key Date Within 14 Days","")))))</f>
        <v/>
      </c>
      <c r="T20" s="51" t="str">
        <f>IF(tblPriorities[[#This Row],[ID]]="","",COUNTIFS(tblActions[Priority ID],tblPriorities[[#This Row],[ID]],tblActions[Status],"Planned")+COUNTIFS(tblActions[Priority ID],tblPriorities[[#This Row],[ID]],tblActions[Status],"In Progress"))</f>
        <v/>
      </c>
      <c r="U20" s="51" t="str">
        <f>IF(OR(tblPriorities[[#This Row],[Open]]&lt;&gt;1,tblPriorities[[#This Row],[Next Key Date]]="",tblPriorities[[#This Row],[Next Key Date]]&lt;AsOf),"",SUMPRODUCT((tblPriorities[Open]=1)*(tblPriorities[Next Key Date]&lt;&gt;"")*(tblPriorities[Next Key Date]&gt;=AsOf)*(tblPriorities[Next Key Date]&lt;tblPriorities[[#This Row],[Next Key Date]]))+SUMPRODUCT((tblPriorities[Open]=1)*(tblPriorities[Next Key Date]&lt;&gt;"")*(tblPriorities[Next Key Date]&gt;=AsOf)*(tblPriorities[Next Key Date]=tblPriorities[[#This Row],[Next Key Date]])*(ROW(tblPriorities[ID])&lt;ROW()))+1)</f>
        <v/>
      </c>
    </row>
    <row r="21">
      <c r="A21" s="49" t="n"/>
      <c r="B21" s="49" t="n"/>
      <c r="C21" s="27" t="n"/>
      <c r="D21" s="27" t="n"/>
      <c r="E21" s="27" t="n"/>
      <c r="F21" s="49" t="n"/>
      <c r="G21" s="49" t="n"/>
      <c r="H21" s="49" t="n"/>
      <c r="I21" s="49" t="n"/>
      <c r="J21" s="27" t="n"/>
      <c r="K21" s="49" t="n"/>
      <c r="L21" s="50" t="n"/>
      <c r="M21" s="27" t="n"/>
      <c r="N21" s="27" t="n"/>
      <c r="O21" s="27" t="n"/>
      <c r="P21" s="51" t="str">
        <f>IF(tblPriorities[[#This Row],[Next Key Date]]="","",tblPriorities[[#This Row],[Next Key Date]]-AsOf)</f>
        <v/>
      </c>
      <c r="Q21" s="53" t="str">
        <f>IF(tblPriorities[[#This Row],[ID]]="","",IF(tblPriorities[[#This Row],[Next Key Date]]="","No Date",IF(tblPriorities[[#This Row],[Next Key Date]]&lt;AsOf,"Passed",IF(tblPriorities[[#This Row],[Next Key Date]]-AsOf&lt;=14,"Within 14 Days",IF(tblPriorities[[#This Row],[Next Key Date]]-AsOf&lt;=30,"Within 30 Days","Later")))))</f>
        <v/>
      </c>
      <c r="R21" s="51">
        <f>IF(tblPriorities[[#This Row],[ID]]="",0,IF(OR(tblPriorities[[#This Row],[Stage]]="Resolved Favorable",tblPriorities[[#This Row],[Stage]]="Resolved Unfavorable",tblPriorities[[#This Row],[Stage]]="Inactive"),0,1))</f>
        <v>0</v>
      </c>
      <c r="S21" s="53" t="str">
        <f>IF(tblPriorities[[#This Row],[Open]]&lt;&gt;1,"",IF(AND(tblPriorities[[#This Row],[Our Position]]&lt;&gt;"Monitor",tblPriorities[[#This Row],[Clearance]]&lt;&gt;"Cleared"),"Clearance Needed",IF(tblPriorities[[#This Row],[Next Key Date]]="","",IF(tblPriorities[[#This Row],[Next Key Date]]&lt;AsOf,"Key Date Passed",IF(tblPriorities[[#This Row],[Next Key Date]]-AsOf&lt;=14,"Key Date Within 14 Days","")))))</f>
        <v/>
      </c>
      <c r="T21" s="51" t="str">
        <f>IF(tblPriorities[[#This Row],[ID]]="","",COUNTIFS(tblActions[Priority ID],tblPriorities[[#This Row],[ID]],tblActions[Status],"Planned")+COUNTIFS(tblActions[Priority ID],tblPriorities[[#This Row],[ID]],tblActions[Status],"In Progress"))</f>
        <v/>
      </c>
      <c r="U21" s="51" t="str">
        <f>IF(OR(tblPriorities[[#This Row],[Open]]&lt;&gt;1,tblPriorities[[#This Row],[Next Key Date]]="",tblPriorities[[#This Row],[Next Key Date]]&lt;AsOf),"",SUMPRODUCT((tblPriorities[Open]=1)*(tblPriorities[Next Key Date]&lt;&gt;"")*(tblPriorities[Next Key Date]&gt;=AsOf)*(tblPriorities[Next Key Date]&lt;tblPriorities[[#This Row],[Next Key Date]]))+SUMPRODUCT((tblPriorities[Open]=1)*(tblPriorities[Next Key Date]&lt;&gt;"")*(tblPriorities[Next Key Date]&gt;=AsOf)*(tblPriorities[Next Key Date]=tblPriorities[[#This Row],[Next Key Date]])*(ROW(tblPriorities[ID])&lt;ROW()))+1)</f>
        <v/>
      </c>
    </row>
    <row r="22">
      <c r="A22" s="49" t="n"/>
      <c r="B22" s="49" t="n"/>
      <c r="C22" s="27" t="n"/>
      <c r="D22" s="27" t="n"/>
      <c r="E22" s="27" t="n"/>
      <c r="F22" s="49" t="n"/>
      <c r="G22" s="49" t="n"/>
      <c r="H22" s="49" t="n"/>
      <c r="I22" s="49" t="n"/>
      <c r="J22" s="27" t="n"/>
      <c r="K22" s="49" t="n"/>
      <c r="L22" s="50" t="n"/>
      <c r="M22" s="27" t="n"/>
      <c r="N22" s="27" t="n"/>
      <c r="O22" s="27" t="n"/>
      <c r="P22" s="51" t="str">
        <f>IF(tblPriorities[[#This Row],[Next Key Date]]="","",tblPriorities[[#This Row],[Next Key Date]]-AsOf)</f>
        <v/>
      </c>
      <c r="Q22" s="53" t="str">
        <f>IF(tblPriorities[[#This Row],[ID]]="","",IF(tblPriorities[[#This Row],[Next Key Date]]="","No Date",IF(tblPriorities[[#This Row],[Next Key Date]]&lt;AsOf,"Passed",IF(tblPriorities[[#This Row],[Next Key Date]]-AsOf&lt;=14,"Within 14 Days",IF(tblPriorities[[#This Row],[Next Key Date]]-AsOf&lt;=30,"Within 30 Days","Later")))))</f>
        <v/>
      </c>
      <c r="R22" s="51">
        <f>IF(tblPriorities[[#This Row],[ID]]="",0,IF(OR(tblPriorities[[#This Row],[Stage]]="Resolved Favorable",tblPriorities[[#This Row],[Stage]]="Resolved Unfavorable",tblPriorities[[#This Row],[Stage]]="Inactive"),0,1))</f>
        <v>0</v>
      </c>
      <c r="S22" s="53" t="str">
        <f>IF(tblPriorities[[#This Row],[Open]]&lt;&gt;1,"",IF(AND(tblPriorities[[#This Row],[Our Position]]&lt;&gt;"Monitor",tblPriorities[[#This Row],[Clearance]]&lt;&gt;"Cleared"),"Clearance Needed",IF(tblPriorities[[#This Row],[Next Key Date]]="","",IF(tblPriorities[[#This Row],[Next Key Date]]&lt;AsOf,"Key Date Passed",IF(tblPriorities[[#This Row],[Next Key Date]]-AsOf&lt;=14,"Key Date Within 14 Days","")))))</f>
        <v/>
      </c>
      <c r="T22" s="51" t="str">
        <f>IF(tblPriorities[[#This Row],[ID]]="","",COUNTIFS(tblActions[Priority ID],tblPriorities[[#This Row],[ID]],tblActions[Status],"Planned")+COUNTIFS(tblActions[Priority ID],tblPriorities[[#This Row],[ID]],tblActions[Status],"In Progress"))</f>
        <v/>
      </c>
      <c r="U22" s="51" t="str">
        <f>IF(OR(tblPriorities[[#This Row],[Open]]&lt;&gt;1,tblPriorities[[#This Row],[Next Key Date]]="",tblPriorities[[#This Row],[Next Key Date]]&lt;AsOf),"",SUMPRODUCT((tblPriorities[Open]=1)*(tblPriorities[Next Key Date]&lt;&gt;"")*(tblPriorities[Next Key Date]&gt;=AsOf)*(tblPriorities[Next Key Date]&lt;tblPriorities[[#This Row],[Next Key Date]]))+SUMPRODUCT((tblPriorities[Open]=1)*(tblPriorities[Next Key Date]&lt;&gt;"")*(tblPriorities[Next Key Date]&gt;=AsOf)*(tblPriorities[Next Key Date]=tblPriorities[[#This Row],[Next Key Date]])*(ROW(tblPriorities[ID])&lt;ROW()))+1)</f>
        <v/>
      </c>
    </row>
    <row r="23">
      <c r="A23" s="49" t="n"/>
      <c r="B23" s="49" t="n"/>
      <c r="C23" s="27" t="n"/>
      <c r="D23" s="27" t="n"/>
      <c r="E23" s="27" t="n"/>
      <c r="F23" s="49" t="n"/>
      <c r="G23" s="49" t="n"/>
      <c r="H23" s="49" t="n"/>
      <c r="I23" s="49" t="n"/>
      <c r="J23" s="27" t="n"/>
      <c r="K23" s="49" t="n"/>
      <c r="L23" s="50" t="n"/>
      <c r="M23" s="27" t="n"/>
      <c r="N23" s="27" t="n"/>
      <c r="O23" s="27" t="n"/>
      <c r="P23" s="51" t="str">
        <f>IF(tblPriorities[[#This Row],[Next Key Date]]="","",tblPriorities[[#This Row],[Next Key Date]]-AsOf)</f>
        <v/>
      </c>
      <c r="Q23" s="53" t="str">
        <f>IF(tblPriorities[[#This Row],[ID]]="","",IF(tblPriorities[[#This Row],[Next Key Date]]="","No Date",IF(tblPriorities[[#This Row],[Next Key Date]]&lt;AsOf,"Passed",IF(tblPriorities[[#This Row],[Next Key Date]]-AsOf&lt;=14,"Within 14 Days",IF(tblPriorities[[#This Row],[Next Key Date]]-AsOf&lt;=30,"Within 30 Days","Later")))))</f>
        <v/>
      </c>
      <c r="R23" s="51">
        <f>IF(tblPriorities[[#This Row],[ID]]="",0,IF(OR(tblPriorities[[#This Row],[Stage]]="Resolved Favorable",tblPriorities[[#This Row],[Stage]]="Resolved Unfavorable",tblPriorities[[#This Row],[Stage]]="Inactive"),0,1))</f>
        <v>0</v>
      </c>
      <c r="S23" s="53" t="str">
        <f>IF(tblPriorities[[#This Row],[Open]]&lt;&gt;1,"",IF(AND(tblPriorities[[#This Row],[Our Position]]&lt;&gt;"Monitor",tblPriorities[[#This Row],[Clearance]]&lt;&gt;"Cleared"),"Clearance Needed",IF(tblPriorities[[#This Row],[Next Key Date]]="","",IF(tblPriorities[[#This Row],[Next Key Date]]&lt;AsOf,"Key Date Passed",IF(tblPriorities[[#This Row],[Next Key Date]]-AsOf&lt;=14,"Key Date Within 14 Days","")))))</f>
        <v/>
      </c>
      <c r="T23" s="51" t="str">
        <f>IF(tblPriorities[[#This Row],[ID]]="","",COUNTIFS(tblActions[Priority ID],tblPriorities[[#This Row],[ID]],tblActions[Status],"Planned")+COUNTIFS(tblActions[Priority ID],tblPriorities[[#This Row],[ID]],tblActions[Status],"In Progress"))</f>
        <v/>
      </c>
      <c r="U23" s="51" t="str">
        <f>IF(OR(tblPriorities[[#This Row],[Open]]&lt;&gt;1,tblPriorities[[#This Row],[Next Key Date]]="",tblPriorities[[#This Row],[Next Key Date]]&lt;AsOf),"",SUMPRODUCT((tblPriorities[Open]=1)*(tblPriorities[Next Key Date]&lt;&gt;"")*(tblPriorities[Next Key Date]&gt;=AsOf)*(tblPriorities[Next Key Date]&lt;tblPriorities[[#This Row],[Next Key Date]]))+SUMPRODUCT((tblPriorities[Open]=1)*(tblPriorities[Next Key Date]&lt;&gt;"")*(tblPriorities[Next Key Date]&gt;=AsOf)*(tblPriorities[Next Key Date]=tblPriorities[[#This Row],[Next Key Date]])*(ROW(tblPriorities[ID])&lt;ROW()))+1)</f>
        <v/>
      </c>
    </row>
    <row r="24">
      <c r="A24" s="49" t="n"/>
      <c r="B24" s="49" t="n"/>
      <c r="C24" s="27" t="n"/>
      <c r="D24" s="27" t="n"/>
      <c r="E24" s="27" t="n"/>
      <c r="F24" s="49" t="n"/>
      <c r="G24" s="49" t="n"/>
      <c r="H24" s="49" t="n"/>
      <c r="I24" s="49" t="n"/>
      <c r="J24" s="27" t="n"/>
      <c r="K24" s="49" t="n"/>
      <c r="L24" s="50" t="n"/>
      <c r="M24" s="27" t="n"/>
      <c r="N24" s="27" t="n"/>
      <c r="O24" s="27" t="n"/>
      <c r="P24" s="51" t="str">
        <f>IF(tblPriorities[[#This Row],[Next Key Date]]="","",tblPriorities[[#This Row],[Next Key Date]]-AsOf)</f>
        <v/>
      </c>
      <c r="Q24" s="53" t="str">
        <f>IF(tblPriorities[[#This Row],[ID]]="","",IF(tblPriorities[[#This Row],[Next Key Date]]="","No Date",IF(tblPriorities[[#This Row],[Next Key Date]]&lt;AsOf,"Passed",IF(tblPriorities[[#This Row],[Next Key Date]]-AsOf&lt;=14,"Within 14 Days",IF(tblPriorities[[#This Row],[Next Key Date]]-AsOf&lt;=30,"Within 30 Days","Later")))))</f>
        <v/>
      </c>
      <c r="R24" s="51">
        <f>IF(tblPriorities[[#This Row],[ID]]="",0,IF(OR(tblPriorities[[#This Row],[Stage]]="Resolved Favorable",tblPriorities[[#This Row],[Stage]]="Resolved Unfavorable",tblPriorities[[#This Row],[Stage]]="Inactive"),0,1))</f>
        <v>0</v>
      </c>
      <c r="S24" s="53" t="str">
        <f>IF(tblPriorities[[#This Row],[Open]]&lt;&gt;1,"",IF(AND(tblPriorities[[#This Row],[Our Position]]&lt;&gt;"Monitor",tblPriorities[[#This Row],[Clearance]]&lt;&gt;"Cleared"),"Clearance Needed",IF(tblPriorities[[#This Row],[Next Key Date]]="","",IF(tblPriorities[[#This Row],[Next Key Date]]&lt;AsOf,"Key Date Passed",IF(tblPriorities[[#This Row],[Next Key Date]]-AsOf&lt;=14,"Key Date Within 14 Days","")))))</f>
        <v/>
      </c>
      <c r="T24" s="51" t="str">
        <f>IF(tblPriorities[[#This Row],[ID]]="","",COUNTIFS(tblActions[Priority ID],tblPriorities[[#This Row],[ID]],tblActions[Status],"Planned")+COUNTIFS(tblActions[Priority ID],tblPriorities[[#This Row],[ID]],tblActions[Status],"In Progress"))</f>
        <v/>
      </c>
      <c r="U24" s="51" t="str">
        <f>IF(OR(tblPriorities[[#This Row],[Open]]&lt;&gt;1,tblPriorities[[#This Row],[Next Key Date]]="",tblPriorities[[#This Row],[Next Key Date]]&lt;AsOf),"",SUMPRODUCT((tblPriorities[Open]=1)*(tblPriorities[Next Key Date]&lt;&gt;"")*(tblPriorities[Next Key Date]&gt;=AsOf)*(tblPriorities[Next Key Date]&lt;tblPriorities[[#This Row],[Next Key Date]]))+SUMPRODUCT((tblPriorities[Open]=1)*(tblPriorities[Next Key Date]&lt;&gt;"")*(tblPriorities[Next Key Date]&gt;=AsOf)*(tblPriorities[Next Key Date]=tblPriorities[[#This Row],[Next Key Date]])*(ROW(tblPriorities[ID])&lt;ROW()))+1)</f>
        <v/>
      </c>
    </row>
  </sheetData>
  <conditionalFormatting sqref="S6:S24">
    <cfRule type="expression" priority="1" dxfId="3">
      <formula>LEN(S6)&gt;0</formula>
    </cfRule>
  </conditionalFormatting>
  <conditionalFormatting sqref="Q6:Q24">
    <cfRule type="cellIs" priority="2" operator="equal" dxfId="3">
      <formula>"Within 14 Days"</formula>
    </cfRule>
    <cfRule type="cellIs" priority="3" operator="equal" dxfId="4">
      <formula>"Passed"</formula>
    </cfRule>
  </conditionalFormatting>
  <conditionalFormatting sqref="K6:K24">
    <cfRule type="cellIs" priority="4" operator="equal" dxfId="9">
      <formula>"In Review"</formula>
    </cfRule>
    <cfRule type="cellIs" priority="5" operator="equal" dxfId="9">
      <formula>"On Hold"</formula>
    </cfRule>
  </conditionalFormatting>
  <dataValidations count="9">
    <dataValidation sqref="B6:B24" showDropDown="0" showInputMessage="0" showErrorMessage="1" allowBlank="1" errorTitle="Choose from the list" error="Pick a value from the dropdown. Edit the lists on the Lists sheet." type="list" errorStyle="stop">
      <formula1>=lstTrack</formula1>
    </dataValidation>
    <dataValidation sqref="C6:C24" showDropDown="0" showInputMessage="0" showErrorMessage="1" allowBlank="1" errorTitle="Choose from the list" error="Pick a value from the dropdown. Edit the lists on the Lists sheet." type="list" errorStyle="stop">
      <formula1>=lstItemType</formula1>
    </dataValidation>
    <dataValidation sqref="F6:F24" showDropDown="0" showInputMessage="0" showErrorMessage="1" allowBlank="1" errorTitle="Choose from the list" error="Pick a value from the dropdown. Edit the lists on the Lists sheet." type="list" errorStyle="stop">
      <formula1>=lstLevel</formula1>
    </dataValidation>
    <dataValidation sqref="G6:G24" showDropDown="0" showInputMessage="0" showErrorMessage="1" allowBlank="1" errorTitle="Choose from the list" error="Pick a value from the dropdown. Edit the lists on the Lists sheet." type="list" errorStyle="stop">
      <formula1>=lstPosition</formula1>
    </dataValidation>
    <dataValidation sqref="H6:H24" showDropDown="0" showInputMessage="0" showErrorMessage="1" allowBlank="1" errorTitle="Choose from the list" error="Pick a value from the dropdown. Edit the lists on the Lists sheet." type="list" errorStyle="stop">
      <formula1>=rngObjIDs</formula1>
    </dataValidation>
    <dataValidation sqref="I6:I24" showDropDown="0" showInputMessage="0" showErrorMessage="1" allowBlank="1" errorTitle="Name not on the People list" error="This name is not on the People list on the Lists sheet. Add it there, or continue to keep what you typed." type="list" errorStyle="warning">
      <formula1>=lstPeople</formula1>
    </dataValidation>
    <dataValidation sqref="J6:J24" showDropDown="0" showInputMessage="0" showErrorMessage="1" allowBlank="1" errorTitle="Choose from the list" error="Pick a value from the dropdown. Edit the lists on the Lists sheet." type="list" errorStyle="stop">
      <formula1>=lstStage</formula1>
    </dataValidation>
    <dataValidation sqref="K6:K24" showDropDown="0" showInputMessage="0" showErrorMessage="1" allowBlank="1" errorTitle="Choose from the list" error="Pick a value from the dropdown. Edit the lists on the Lists sheet." type="list" errorStyle="stop">
      <formula1>=lstClearance</formula1>
    </dataValidation>
    <dataValidation sqref="L6:L24" showDropDown="0" showInputMessage="0" showErrorMessage="1" allowBlank="1" errorTitle="Enter a date" error="Enter a valid date, for example 4/15/2027." type="date" errorStyle="stop" operator="greaterThanOrEqual">
      <formula1>36526</formula1>
    </dataValidation>
  </dataValidations>
  <pageMargins left="0.5" right="0.5" top="1" bottom="1" header="0.5" footer="0.5"/>
  <pageSetup orientation="landscape" fitToHeight="0" fitToWidth="1"/>
  <headerFooter>
    <oddHeader/>
    <oddFooter>&amp;L&amp;8 Intergov Association | Strategic Plan Tracker&amp;R&amp;8 &amp;A | Page &amp;P of &amp;N</oddFooter>
    <evenHeader/>
    <evenFooter/>
    <firstHeader/>
    <firstFooter/>
  </headerFooter>
  <tableParts count="1">
    <tablePart xmlns:r="http://schemas.openxmlformats.org/officeDocument/2006/relationships" r:id="rId1"/>
  </tableParts>
</worksheet>
</file>

<file path=xl/worksheets/sheet6.xml><?xml version="1.0" encoding="utf-8"?>
<worksheet xmlns="http://schemas.openxmlformats.org/spreadsheetml/2006/main">
  <sheetPr>
    <tabColor rgb="00192E43"/>
    <outlinePr summaryBelow="1" summaryRight="1"/>
    <pageSetUpPr fitToPage="1"/>
  </sheetPr>
  <dimension ref="A1:N69"/>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9" customWidth="1" min="1" max="1"/>
    <col width="12" customWidth="1" min="2" max="2"/>
    <col width="20" customWidth="1" min="3" max="3"/>
    <col width="44" customWidth="1" min="4" max="4"/>
    <col width="11" customWidth="1" min="5" max="5"/>
    <col width="11" customWidth="1" min="6" max="6"/>
    <col width="11" customWidth="1" min="7" max="7"/>
    <col width="16" customWidth="1" min="8" max="8"/>
    <col width="12" customWidth="1" min="9" max="9"/>
    <col width="48" customWidth="1" min="10" max="10"/>
    <col width="34" customWidth="1" min="11" max="11"/>
    <col width="8" customWidth="1" min="12" max="12"/>
    <col width="15" customWidth="1" min="13" max="13"/>
    <col width="9" customWidth="1" min="14" max="14"/>
  </cols>
  <sheetData>
    <row r="1">
      <c r="A1" s="46" t="inlineStr">
        <is>
          <t>Engagement and Action Log</t>
        </is>
      </c>
    </row>
    <row r="2">
      <c r="A2" s="18" t="inlineStr">
        <is>
          <t>Meetings, briefings, testimony, and other engagement. Completed actions update Last Contact on the Relationships sheet.</t>
        </is>
      </c>
    </row>
    <row r="3">
      <c r="A3" s="33" t="inlineStr">
        <is>
          <t xml:space="preserve">Navy headers: enter data. Slate headers with gray cells: calculated, do not overwrite. </t>
        </is>
      </c>
    </row>
    <row r="5" ht="34" customHeight="1">
      <c r="A5" s="47" t="inlineStr">
        <is>
          <t>ID</t>
        </is>
      </c>
      <c r="B5" s="47" t="inlineStr">
        <is>
          <t>Date</t>
        </is>
      </c>
      <c r="C5" s="47" t="inlineStr">
        <is>
          <t>Action Type</t>
        </is>
      </c>
      <c r="D5" s="47" t="inlineStr">
        <is>
          <t>Description</t>
        </is>
      </c>
      <c r="E5" s="47" t="inlineStr">
        <is>
          <t>Objective ID</t>
        </is>
      </c>
      <c r="F5" s="47" t="inlineStr">
        <is>
          <t>Relationship ID</t>
        </is>
      </c>
      <c r="G5" s="47" t="inlineStr">
        <is>
          <t>Priority ID</t>
        </is>
      </c>
      <c r="H5" s="47" t="inlineStr">
        <is>
          <t>Owner</t>
        </is>
      </c>
      <c r="I5" s="47" t="inlineStr">
        <is>
          <t>Status</t>
        </is>
      </c>
      <c r="J5" s="47" t="inlineStr">
        <is>
          <t>Outcome or Result</t>
        </is>
      </c>
      <c r="K5" s="47" t="inlineStr">
        <is>
          <t>Next Step</t>
        </is>
      </c>
      <c r="L5" s="48" t="inlineStr">
        <is>
          <t>Quarter</t>
        </is>
      </c>
      <c r="M5" s="48" t="inlineStr">
        <is>
          <t>Timing Flag</t>
        </is>
      </c>
      <c r="N5" s="48" t="inlineStr">
        <is>
          <t>Days Overdue</t>
        </is>
      </c>
    </row>
    <row r="6">
      <c r="A6" s="49" t="inlineStr">
        <is>
          <t>ACT-001</t>
        </is>
      </c>
      <c r="B6" s="50" t="n">
        <v>46392</v>
      </c>
      <c r="C6" s="27" t="inlineStr">
        <is>
          <t>Briefing</t>
        </is>
      </c>
      <c r="D6" s="27" t="inlineStr">
        <is>
          <t>Brief the Board of Commissioners on the 2027 legislative platform and the sequence for SB 214 and HB 388</t>
        </is>
      </c>
      <c r="E6" s="49" t="inlineStr">
        <is>
          <t>OBJ-1</t>
        </is>
      </c>
      <c r="F6" s="49" t="inlineStr">
        <is>
          <t>REL-02</t>
        </is>
      </c>
      <c r="G6" s="49" t="inlineStr">
        <is>
          <t>LEG-01</t>
        </is>
      </c>
      <c r="H6" s="49" t="inlineStr">
        <is>
          <t>Elena Marsh</t>
        </is>
      </c>
      <c r="I6" s="49" t="inlineStr">
        <is>
          <t>Complete</t>
        </is>
      </c>
      <c r="J6" s="27" t="inlineStr">
        <is>
          <t>Board endorsed the platform and directed staff to oppose HB 388 as filed and seek amendments.</t>
        </is>
      </c>
      <c r="K6" s="27" t="inlineStr">
        <is>
          <t>Circulate the adopted platform to department heads.</t>
        </is>
      </c>
      <c r="L6" s="55" t="str">
        <f>IF(tblActions[[#This Row],[Date]]="","","Q"&amp;(INT(MOD(MONTH(tblActions[[#This Row],[Date]])-StartMonth,12)/3)+1))</f>
        <v>Q1</v>
      </c>
      <c r="M6" s="53" t="str">
        <f>IF(tblActions[[#This Row],[ID]]="","",IF(tblActions[[#This Row],[Status]]="Complete","Done",IF(OR(tblActions[[#This Row],[Status]]="Deferred",tblActions[[#This Row],[Status]]="Cancelled"),"Not Pursued",IF(tblActions[[#This Row],[Date]]="","No Date",IF(tblActions[[#This Row],[Date]]&lt;AsOf,"Overdue",IF(tblActions[[#This Row],[Date]]-AsOf&lt;=7,"Due Within 7 Days","Scheduled"))))))</f>
        <v>Done</v>
      </c>
      <c r="N6" s="51" t="str">
        <f>IF(tblActions[[#This Row],[Timing Flag]]="Overdue",AsOf-tblActions[[#This Row],[Date]],"")</f>
        <v/>
      </c>
    </row>
    <row r="7">
      <c r="A7" s="49" t="inlineStr">
        <is>
          <t>ACT-002</t>
        </is>
      </c>
      <c r="B7" s="50" t="n">
        <v>46394</v>
      </c>
      <c r="C7" s="27" t="inlineStr">
        <is>
          <t>Internal Clearance</t>
        </is>
      </c>
      <c r="D7" s="27" t="inlineStr">
        <is>
          <t>Circulate draft position-clearance protocol to the Executive Office and County Attorney</t>
        </is>
      </c>
      <c r="E7" s="49" t="inlineStr">
        <is>
          <t>OBJ-6</t>
        </is>
      </c>
      <c r="F7" s="49" t="inlineStr">
        <is>
          <t>REL-01</t>
        </is>
      </c>
      <c r="G7" s="49" t="n"/>
      <c r="H7" s="49" t="inlineStr">
        <is>
          <t>Elena Marsh</t>
        </is>
      </c>
      <c r="I7" s="49" t="inlineStr">
        <is>
          <t>Complete</t>
        </is>
      </c>
      <c r="J7" s="27" t="inlineStr">
        <is>
          <t>Attorney's Office asked for shorter turnaround standards on routine items.</t>
        </is>
      </c>
      <c r="K7" s="27" t="inlineStr">
        <is>
          <t>Revise turnaround standards and resubmit.</t>
        </is>
      </c>
      <c r="L7" s="55" t="str">
        <f>IF(tblActions[[#This Row],[Date]]="","","Q"&amp;(INT(MOD(MONTH(tblActions[[#This Row],[Date]])-StartMonth,12)/3)+1))</f>
        <v>Q1</v>
      </c>
      <c r="M7" s="53" t="str">
        <f>IF(tblActions[[#This Row],[ID]]="","",IF(tblActions[[#This Row],[Status]]="Complete","Done",IF(OR(tblActions[[#This Row],[Status]]="Deferred",tblActions[[#This Row],[Status]]="Cancelled"),"Not Pursued",IF(tblActions[[#This Row],[Date]]="","No Date",IF(tblActions[[#This Row],[Date]]&lt;AsOf,"Overdue",IF(tblActions[[#This Row],[Date]]-AsOf&lt;=7,"Due Within 7 Days","Scheduled"))))))</f>
        <v>Done</v>
      </c>
      <c r="N7" s="51" t="str">
        <f>IF(tblActions[[#This Row],[Timing Flag]]="Overdue",AsOf-tblActions[[#This Row],[Date]],"")</f>
        <v/>
      </c>
    </row>
    <row r="8">
      <c r="A8" s="49" t="inlineStr">
        <is>
          <t>ACT-003</t>
        </is>
      </c>
      <c r="B8" s="50" t="n">
        <v>46400</v>
      </c>
      <c r="C8" s="27" t="inlineStr">
        <is>
          <t>Meeting</t>
        </is>
      </c>
      <c r="D8" s="27" t="inlineStr">
        <is>
          <t>Meet Sen. Dalton's staff to confirm sponsorship of SB 214</t>
        </is>
      </c>
      <c r="E8" s="49" t="inlineStr">
        <is>
          <t>OBJ-1</t>
        </is>
      </c>
      <c r="F8" s="49" t="inlineStr">
        <is>
          <t>REL-03</t>
        </is>
      </c>
      <c r="G8" s="49" t="inlineStr">
        <is>
          <t>LEG-01</t>
        </is>
      </c>
      <c r="H8" s="49" t="inlineStr">
        <is>
          <t>Jordan Pike</t>
        </is>
      </c>
      <c r="I8" s="49" t="inlineStr">
        <is>
          <t>Complete</t>
        </is>
      </c>
      <c r="J8" s="27" t="inlineStr">
        <is>
          <t>Sponsorship confirmed. Staff asked for road and bridge backlog data for the fiscal note.</t>
        </is>
      </c>
      <c r="K8" s="27" t="inlineStr">
        <is>
          <t>Deliver backlog data.</t>
        </is>
      </c>
      <c r="L8" s="55" t="str">
        <f>IF(tblActions[[#This Row],[Date]]="","","Q"&amp;(INT(MOD(MONTH(tblActions[[#This Row],[Date]])-StartMonth,12)/3)+1))</f>
        <v>Q1</v>
      </c>
      <c r="M8" s="53" t="str">
        <f>IF(tblActions[[#This Row],[ID]]="","",IF(tblActions[[#This Row],[Status]]="Complete","Done",IF(OR(tblActions[[#This Row],[Status]]="Deferred",tblActions[[#This Row],[Status]]="Cancelled"),"Not Pursued",IF(tblActions[[#This Row],[Date]]="","No Date",IF(tblActions[[#This Row],[Date]]&lt;AsOf,"Overdue",IF(tblActions[[#This Row],[Date]]-AsOf&lt;=7,"Due Within 7 Days","Scheduled"))))))</f>
        <v>Done</v>
      </c>
      <c r="N8" s="51" t="str">
        <f>IF(tblActions[[#This Row],[Timing Flag]]="Overdue",AsOf-tblActions[[#This Row],[Date]],"")</f>
        <v/>
      </c>
    </row>
    <row r="9">
      <c r="A9" s="49" t="inlineStr">
        <is>
          <t>ACT-004</t>
        </is>
      </c>
      <c r="B9" s="50" t="n">
        <v>46401</v>
      </c>
      <c r="C9" s="27" t="inlineStr">
        <is>
          <t>Written Submission</t>
        </is>
      </c>
      <c r="D9" s="27" t="inlineStr">
        <is>
          <t>Provide road and bridge backlog data to Senate committee staff</t>
        </is>
      </c>
      <c r="E9" s="49" t="inlineStr">
        <is>
          <t>OBJ-1</t>
        </is>
      </c>
      <c r="F9" s="49" t="inlineStr">
        <is>
          <t>REL-03</t>
        </is>
      </c>
      <c r="G9" s="49" t="inlineStr">
        <is>
          <t>LEG-01</t>
        </is>
      </c>
      <c r="H9" s="49" t="inlineStr">
        <is>
          <t>Gerald Whitcomb</t>
        </is>
      </c>
      <c r="I9" s="49" t="inlineStr">
        <is>
          <t>Complete</t>
        </is>
      </c>
      <c r="J9" s="27" t="inlineStr">
        <is>
          <t>Data used in the sponsor's summary. Revenue Department asked for rate base assumptions.</t>
        </is>
      </c>
      <c r="K9" s="27" t="inlineStr">
        <is>
          <t>Brief Revenue Department on assumptions.</t>
        </is>
      </c>
      <c r="L9" s="55" t="str">
        <f>IF(tblActions[[#This Row],[Date]]="","","Q"&amp;(INT(MOD(MONTH(tblActions[[#This Row],[Date]])-StartMonth,12)/3)+1))</f>
        <v>Q1</v>
      </c>
      <c r="M9" s="53" t="str">
        <f>IF(tblActions[[#This Row],[ID]]="","",IF(tblActions[[#This Row],[Status]]="Complete","Done",IF(OR(tblActions[[#This Row],[Status]]="Deferred",tblActions[[#This Row],[Status]]="Cancelled"),"Not Pursued",IF(tblActions[[#This Row],[Date]]="","No Date",IF(tblActions[[#This Row],[Date]]&lt;AsOf,"Overdue",IF(tblActions[[#This Row],[Date]]-AsOf&lt;=7,"Due Within 7 Days","Scheduled"))))))</f>
        <v>Done</v>
      </c>
      <c r="N9" s="51" t="str">
        <f>IF(tblActions[[#This Row],[Timing Flag]]="Overdue",AsOf-tblActions[[#This Row],[Date]],"")</f>
        <v/>
      </c>
    </row>
    <row r="10">
      <c r="A10" s="49" t="inlineStr">
        <is>
          <t>ACT-005</t>
        </is>
      </c>
      <c r="B10" s="50" t="n">
        <v>46406</v>
      </c>
      <c r="C10" s="27" t="inlineStr">
        <is>
          <t>Meeting</t>
        </is>
      </c>
      <c r="D10" s="27" t="inlineStr">
        <is>
          <t>Meet the Riverton City Manager on shared priorities for the session</t>
        </is>
      </c>
      <c r="E10" s="49" t="inlineStr">
        <is>
          <t>OBJ-4</t>
        </is>
      </c>
      <c r="F10" s="49" t="inlineStr">
        <is>
          <t>REL-06</t>
        </is>
      </c>
      <c r="G10" s="49" t="inlineStr">
        <is>
          <t>ADM-04</t>
        </is>
      </c>
      <c r="H10" s="49" t="inlineStr">
        <is>
          <t>Alicia Brandt</t>
        </is>
      </c>
      <c r="I10" s="49" t="inlineStr">
        <is>
          <t>Complete</t>
        </is>
      </c>
      <c r="J10" s="27" t="inlineStr">
        <is>
          <t>Riverton supports the local-option concept but wants a distribution share for city streets. Both sides agreed to exchange allocation positions in writing.</t>
        </is>
      </c>
      <c r="K10" s="27" t="inlineStr">
        <is>
          <t>Send draft allocation principles.</t>
        </is>
      </c>
      <c r="L10" s="55" t="str">
        <f>IF(tblActions[[#This Row],[Date]]="","","Q"&amp;(INT(MOD(MONTH(tblActions[[#This Row],[Date]])-StartMonth,12)/3)+1))</f>
        <v>Q1</v>
      </c>
      <c r="M10" s="53" t="str">
        <f>IF(tblActions[[#This Row],[ID]]="","",IF(tblActions[[#This Row],[Status]]="Complete","Done",IF(OR(tblActions[[#This Row],[Status]]="Deferred",tblActions[[#This Row],[Status]]="Cancelled"),"Not Pursued",IF(tblActions[[#This Row],[Date]]="","No Date",IF(tblActions[[#This Row],[Date]]&lt;AsOf,"Overdue",IF(tblActions[[#This Row],[Date]]-AsOf&lt;=7,"Due Within 7 Days","Scheduled"))))))</f>
        <v>Done</v>
      </c>
      <c r="N10" s="51" t="str">
        <f>IF(tblActions[[#This Row],[Timing Flag]]="Overdue",AsOf-tblActions[[#This Row],[Date]],"")</f>
        <v/>
      </c>
    </row>
    <row r="11">
      <c r="A11" s="49" t="inlineStr">
        <is>
          <t>ACT-006</t>
        </is>
      </c>
      <c r="B11" s="50" t="n">
        <v>46407</v>
      </c>
      <c r="C11" s="27" t="inlineStr">
        <is>
          <t>Call or Correspondence</t>
        </is>
      </c>
      <c r="D11" s="27" t="inlineStr">
        <is>
          <t>Introductory call with the Governor's policy advisor on session priorities</t>
        </is>
      </c>
      <c r="E11" s="49" t="inlineStr">
        <is>
          <t>OBJ-1</t>
        </is>
      </c>
      <c r="F11" s="49" t="inlineStr">
        <is>
          <t>REL-13</t>
        </is>
      </c>
      <c r="G11" s="49" t="inlineStr">
        <is>
          <t>ADM-06</t>
        </is>
      </c>
      <c r="H11" s="49" t="inlineStr">
        <is>
          <t>Elena Marsh</t>
        </is>
      </c>
      <c r="I11" s="49" t="inlineStr">
        <is>
          <t>Complete</t>
        </is>
      </c>
      <c r="J11" s="27" t="inlineStr">
        <is>
          <t>Advisor asked for a one-page summary of SB 214 and its fiscal assumptions.</t>
        </is>
      </c>
      <c r="K11" s="27" t="inlineStr">
        <is>
          <t>Send one-page summary.</t>
        </is>
      </c>
      <c r="L11" s="55" t="str">
        <f>IF(tblActions[[#This Row],[Date]]="","","Q"&amp;(INT(MOD(MONTH(tblActions[[#This Row],[Date]])-StartMonth,12)/3)+1))</f>
        <v>Q1</v>
      </c>
      <c r="M11" s="53" t="str">
        <f>IF(tblActions[[#This Row],[ID]]="","",IF(tblActions[[#This Row],[Status]]="Complete","Done",IF(OR(tblActions[[#This Row],[Status]]="Deferred",tblActions[[#This Row],[Status]]="Cancelled"),"Not Pursued",IF(tblActions[[#This Row],[Date]]="","No Date",IF(tblActions[[#This Row],[Date]]&lt;AsOf,"Overdue",IF(tblActions[[#This Row],[Date]]-AsOf&lt;=7,"Due Within 7 Days","Scheduled"))))))</f>
        <v>Done</v>
      </c>
      <c r="N11" s="51" t="str">
        <f>IF(tblActions[[#This Row],[Timing Flag]]="Overdue",AsOf-tblActions[[#This Row],[Date]],"")</f>
        <v/>
      </c>
    </row>
    <row r="12">
      <c r="A12" s="49" t="inlineStr">
        <is>
          <t>ACT-007</t>
        </is>
      </c>
      <c r="B12" s="50" t="n">
        <v>46413</v>
      </c>
      <c r="C12" s="27" t="inlineStr">
        <is>
          <t>Call or Correspondence</t>
        </is>
      </c>
      <c r="D12" s="27" t="inlineStr">
        <is>
          <t>Confirm SB 214 filing; distribute bill summary to department heads and the Board</t>
        </is>
      </c>
      <c r="E12" s="49" t="inlineStr">
        <is>
          <t>OBJ-1</t>
        </is>
      </c>
      <c r="F12" s="49" t="inlineStr">
        <is>
          <t>REL-03</t>
        </is>
      </c>
      <c r="G12" s="49" t="inlineStr">
        <is>
          <t>LEG-01</t>
        </is>
      </c>
      <c r="H12" s="49" t="inlineStr">
        <is>
          <t>Jordan Pike</t>
        </is>
      </c>
      <c r="I12" s="49" t="inlineStr">
        <is>
          <t>Complete</t>
        </is>
      </c>
      <c r="J12" s="27" t="inlineStr">
        <is>
          <t>Bill filed Jan 26, ahead of the Feb 5 deadline.</t>
        </is>
      </c>
      <c r="K12" s="27" t="inlineStr">
        <is>
          <t>Prepare committee testimony.</t>
        </is>
      </c>
      <c r="L12" s="55" t="str">
        <f>IF(tblActions[[#This Row],[Date]]="","","Q"&amp;(INT(MOD(MONTH(tblActions[[#This Row],[Date]])-StartMonth,12)/3)+1))</f>
        <v>Q1</v>
      </c>
      <c r="M12" s="53" t="str">
        <f>IF(tblActions[[#This Row],[ID]]="","",IF(tblActions[[#This Row],[Status]]="Complete","Done",IF(OR(tblActions[[#This Row],[Status]]="Deferred",tblActions[[#This Row],[Status]]="Cancelled"),"Not Pursued",IF(tblActions[[#This Row],[Date]]="","No Date",IF(tblActions[[#This Row],[Date]]&lt;AsOf,"Overdue",IF(tblActions[[#This Row],[Date]]-AsOf&lt;=7,"Due Within 7 Days","Scheduled"))))))</f>
        <v>Done</v>
      </c>
      <c r="N12" s="51" t="str">
        <f>IF(tblActions[[#This Row],[Timing Flag]]="Overdue",AsOf-tblActions[[#This Row],[Date]],"")</f>
        <v/>
      </c>
    </row>
    <row r="13">
      <c r="A13" s="49" t="inlineStr">
        <is>
          <t>ACT-008</t>
        </is>
      </c>
      <c r="B13" s="50" t="n">
        <v>46416</v>
      </c>
      <c r="C13" s="27" t="inlineStr">
        <is>
          <t>Internal Clearance</t>
        </is>
      </c>
      <c r="D13" s="27" t="inlineStr">
        <is>
          <t>Obtain County Executive approval of the position-clearance protocol</t>
        </is>
      </c>
      <c r="E13" s="49" t="inlineStr">
        <is>
          <t>OBJ-6</t>
        </is>
      </c>
      <c r="F13" s="49" t="inlineStr">
        <is>
          <t>REL-01</t>
        </is>
      </c>
      <c r="G13" s="49" t="n"/>
      <c r="H13" s="49" t="inlineStr">
        <is>
          <t>Elena Marsh</t>
        </is>
      </c>
      <c r="I13" s="49" t="inlineStr">
        <is>
          <t>Complete</t>
        </is>
      </c>
      <c r="J13" s="27" t="inlineStr">
        <is>
          <t>Protocol approved. Two designated spokespeople named for each active bill.</t>
        </is>
      </c>
      <c r="K13" s="27" t="inlineStr">
        <is>
          <t>Apply protocol to HB 388 position paper.</t>
        </is>
      </c>
      <c r="L13" s="55" t="str">
        <f>IF(tblActions[[#This Row],[Date]]="","","Q"&amp;(INT(MOD(MONTH(tblActions[[#This Row],[Date]])-StartMonth,12)/3)+1))</f>
        <v>Q1</v>
      </c>
      <c r="M13" s="53" t="str">
        <f>IF(tblActions[[#This Row],[ID]]="","",IF(tblActions[[#This Row],[Status]]="Complete","Done",IF(OR(tblActions[[#This Row],[Status]]="Deferred",tblActions[[#This Row],[Status]]="Cancelled"),"Not Pursued",IF(tblActions[[#This Row],[Date]]="","No Date",IF(tblActions[[#This Row],[Date]]&lt;AsOf,"Overdue",IF(tblActions[[#This Row],[Date]]-AsOf&lt;=7,"Due Within 7 Days","Scheduled"))))))</f>
        <v>Done</v>
      </c>
      <c r="N13" s="51" t="str">
        <f>IF(tblActions[[#This Row],[Timing Flag]]="Overdue",AsOf-tblActions[[#This Row],[Date]],"")</f>
        <v/>
      </c>
    </row>
    <row r="14">
      <c r="A14" s="49" t="inlineStr">
        <is>
          <t>ACT-009</t>
        </is>
      </c>
      <c r="B14" s="50" t="n">
        <v>46420</v>
      </c>
      <c r="C14" s="27" t="inlineStr">
        <is>
          <t>Internal Clearance</t>
        </is>
      </c>
      <c r="D14" s="27" t="inlineStr">
        <is>
          <t>Clear HB 388 position paper and opt-out amendment language</t>
        </is>
      </c>
      <c r="E14" s="49" t="inlineStr">
        <is>
          <t>OBJ-2</t>
        </is>
      </c>
      <c r="F14" s="49" t="inlineStr">
        <is>
          <t>REL-01</t>
        </is>
      </c>
      <c r="G14" s="49" t="inlineStr">
        <is>
          <t>LEG-02</t>
        </is>
      </c>
      <c r="H14" s="49" t="inlineStr">
        <is>
          <t>Jordan Pike</t>
        </is>
      </c>
      <c r="I14" s="49" t="inlineStr">
        <is>
          <t>Complete</t>
        </is>
      </c>
      <c r="J14" s="27" t="inlineStr">
        <is>
          <t>Cleared by the Deputy County Executive and the County Attorney's Office. First use of the new protocol.</t>
        </is>
      </c>
      <c r="K14" s="27" t="inlineStr">
        <is>
          <t>Align coalition partners.</t>
        </is>
      </c>
      <c r="L14" s="55" t="str">
        <f>IF(tblActions[[#This Row],[Date]]="","","Q"&amp;(INT(MOD(MONTH(tblActions[[#This Row],[Date]])-StartMonth,12)/3)+1))</f>
        <v>Q1</v>
      </c>
      <c r="M14" s="53" t="str">
        <f>IF(tblActions[[#This Row],[ID]]="","",IF(tblActions[[#This Row],[Status]]="Complete","Done",IF(OR(tblActions[[#This Row],[Status]]="Deferred",tblActions[[#This Row],[Status]]="Cancelled"),"Not Pursued",IF(tblActions[[#This Row],[Date]]="","No Date",IF(tblActions[[#This Row],[Date]]&lt;AsOf,"Overdue",IF(tblActions[[#This Row],[Date]]-AsOf&lt;=7,"Due Within 7 Days","Scheduled"))))))</f>
        <v>Done</v>
      </c>
      <c r="N14" s="51" t="str">
        <f>IF(tblActions[[#This Row],[Timing Flag]]="Overdue",AsOf-tblActions[[#This Row],[Date]],"")</f>
        <v/>
      </c>
    </row>
    <row r="15">
      <c r="A15" s="49" t="inlineStr">
        <is>
          <t>ACT-010</t>
        </is>
      </c>
      <c r="B15" s="50" t="n">
        <v>46422</v>
      </c>
      <c r="C15" s="27" t="inlineStr">
        <is>
          <t>Coalition Work</t>
        </is>
      </c>
      <c r="D15" s="27" t="inlineStr">
        <is>
          <t>Align with the Association of Counties on the HB 388 amendment</t>
        </is>
      </c>
      <c r="E15" s="49" t="inlineStr">
        <is>
          <t>OBJ-2</t>
        </is>
      </c>
      <c r="F15" s="49" t="inlineStr">
        <is>
          <t>REL-12</t>
        </is>
      </c>
      <c r="G15" s="49" t="inlineStr">
        <is>
          <t>LEG-02</t>
        </is>
      </c>
      <c r="H15" s="49" t="inlineStr">
        <is>
          <t>Jordan Pike</t>
        </is>
      </c>
      <c r="I15" s="49" t="inlineStr">
        <is>
          <t>Complete</t>
        </is>
      </c>
      <c r="J15" s="27" t="inlineStr">
        <is>
          <t>Association adopted a support-with-amendment position rather than opposition. Agreed to share vote counts.</t>
        </is>
      </c>
      <c r="K15" s="27" t="inlineStr">
        <is>
          <t>Secure Riverton co-signature on joint letter.</t>
        </is>
      </c>
      <c r="L15" s="55" t="str">
        <f>IF(tblActions[[#This Row],[Date]]="","","Q"&amp;(INT(MOD(MONTH(tblActions[[#This Row],[Date]])-StartMonth,12)/3)+1))</f>
        <v>Q1</v>
      </c>
      <c r="M15" s="53" t="str">
        <f>IF(tblActions[[#This Row],[ID]]="","",IF(tblActions[[#This Row],[Status]]="Complete","Done",IF(OR(tblActions[[#This Row],[Status]]="Deferred",tblActions[[#This Row],[Status]]="Cancelled"),"Not Pursued",IF(tblActions[[#This Row],[Date]]="","No Date",IF(tblActions[[#This Row],[Date]]&lt;AsOf,"Overdue",IF(tblActions[[#This Row],[Date]]-AsOf&lt;=7,"Due Within 7 Days","Scheduled"))))))</f>
        <v>Done</v>
      </c>
      <c r="N15" s="51" t="str">
        <f>IF(tblActions[[#This Row],[Timing Flag]]="Overdue",AsOf-tblActions[[#This Row],[Date]],"")</f>
        <v/>
      </c>
    </row>
    <row r="16">
      <c r="A16" s="49" t="inlineStr">
        <is>
          <t>ACT-011</t>
        </is>
      </c>
      <c r="B16" s="50" t="n">
        <v>46428</v>
      </c>
      <c r="C16" s="27" t="inlineStr">
        <is>
          <t>Meeting</t>
        </is>
      </c>
      <c r="D16" s="27" t="inlineStr">
        <is>
          <t>Staff introduction with the Three Fords Cultural Resources Department</t>
        </is>
      </c>
      <c r="E16" s="49" t="inlineStr">
        <is>
          <t>OBJ-5</t>
        </is>
      </c>
      <c r="F16" s="49" t="inlineStr">
        <is>
          <t>REL-08</t>
        </is>
      </c>
      <c r="G16" s="49" t="inlineStr">
        <is>
          <t>ADM-03</t>
        </is>
      </c>
      <c r="H16" s="49" t="inlineStr">
        <is>
          <t>Elena Marsh</t>
        </is>
      </c>
      <c r="I16" s="49" t="inlineStr">
        <is>
          <t>Complete</t>
        </is>
      </c>
      <c r="J16" s="27" t="inlineStr">
        <is>
          <t>Staff described concerns about the east-bank corridor and asked for a written invitation from the County Executive before any leader-level meeting.</t>
        </is>
      </c>
      <c r="K16" s="27" t="inlineStr">
        <is>
          <t>Prepare invitation letter for County Executive.</t>
        </is>
      </c>
      <c r="L16" s="55" t="str">
        <f>IF(tblActions[[#This Row],[Date]]="","","Q"&amp;(INT(MOD(MONTH(tblActions[[#This Row],[Date]])-StartMonth,12)/3)+1))</f>
        <v>Q1</v>
      </c>
      <c r="M16" s="53" t="str">
        <f>IF(tblActions[[#This Row],[ID]]="","",IF(tblActions[[#This Row],[Status]]="Complete","Done",IF(OR(tblActions[[#This Row],[Status]]="Deferred",tblActions[[#This Row],[Status]]="Cancelled"),"Not Pursued",IF(tblActions[[#This Row],[Date]]="","No Date",IF(tblActions[[#This Row],[Date]]&lt;AsOf,"Overdue",IF(tblActions[[#This Row],[Date]]-AsOf&lt;=7,"Due Within 7 Days","Scheduled"))))))</f>
        <v>Done</v>
      </c>
      <c r="N16" s="51" t="str">
        <f>IF(tblActions[[#This Row],[Timing Flag]]="Overdue",AsOf-tblActions[[#This Row],[Date]],"")</f>
        <v/>
      </c>
    </row>
    <row r="17">
      <c r="A17" s="49" t="inlineStr">
        <is>
          <t>ACT-012</t>
        </is>
      </c>
      <c r="B17" s="50" t="n">
        <v>46430</v>
      </c>
      <c r="C17" s="27" t="inlineStr">
        <is>
          <t>Site Visit</t>
        </is>
      </c>
      <c r="D17" s="27" t="inlineStr">
        <is>
          <t>Joint site visit to the bridge with Riverton, the Transit Authority, and State DOT</t>
        </is>
      </c>
      <c r="E17" s="49" t="inlineStr">
        <is>
          <t>OBJ-4</t>
        </is>
      </c>
      <c r="F17" s="49" t="inlineStr">
        <is>
          <t>REL-07</t>
        </is>
      </c>
      <c r="G17" s="49" t="inlineStr">
        <is>
          <t>ADM-04</t>
        </is>
      </c>
      <c r="H17" s="49" t="inlineStr">
        <is>
          <t>Alicia Brandt</t>
        </is>
      </c>
      <c r="I17" s="49" t="inlineStr">
        <is>
          <t>Deferred</t>
        </is>
      </c>
      <c r="J17" s="27" t="inlineStr">
        <is>
          <t>Deferred after a winter storm closed the east approach.</t>
        </is>
      </c>
      <c r="K17" s="27" t="inlineStr">
        <is>
          <t>Reschedule; new date Apr 28.</t>
        </is>
      </c>
      <c r="L17" s="55" t="str">
        <f>IF(tblActions[[#This Row],[Date]]="","","Q"&amp;(INT(MOD(MONTH(tblActions[[#This Row],[Date]])-StartMonth,12)/3)+1))</f>
        <v>Q1</v>
      </c>
      <c r="M17" s="53" t="str">
        <f>IF(tblActions[[#This Row],[ID]]="","",IF(tblActions[[#This Row],[Status]]="Complete","Done",IF(OR(tblActions[[#This Row],[Status]]="Deferred",tblActions[[#This Row],[Status]]="Cancelled"),"Not Pursued",IF(tblActions[[#This Row],[Date]]="","No Date",IF(tblActions[[#This Row],[Date]]&lt;AsOf,"Overdue",IF(tblActions[[#This Row],[Date]]-AsOf&lt;=7,"Due Within 7 Days","Scheduled"))))))</f>
        <v>Not Pursued</v>
      </c>
      <c r="N17" s="51" t="str">
        <f>IF(tblActions[[#This Row],[Timing Flag]]="Overdue",AsOf-tblActions[[#This Row],[Date]],"")</f>
        <v/>
      </c>
    </row>
    <row r="18">
      <c r="A18" s="49" t="inlineStr">
        <is>
          <t>ACT-013</t>
        </is>
      </c>
      <c r="B18" s="50" t="n">
        <v>46434</v>
      </c>
      <c r="C18" s="27" t="inlineStr">
        <is>
          <t>Meeting</t>
        </is>
      </c>
      <c r="D18" s="27" t="inlineStr">
        <is>
          <t>Meet Riverton and Transit Authority staff on cost allocation principles</t>
        </is>
      </c>
      <c r="E18" s="49" t="inlineStr">
        <is>
          <t>OBJ-4</t>
        </is>
      </c>
      <c r="F18" s="49" t="inlineStr">
        <is>
          <t>REL-06</t>
        </is>
      </c>
      <c r="G18" s="49" t="inlineStr">
        <is>
          <t>ADM-04</t>
        </is>
      </c>
      <c r="H18" s="49" t="inlineStr">
        <is>
          <t>Alicia Brandt</t>
        </is>
      </c>
      <c r="I18" s="49" t="inlineStr">
        <is>
          <t>Complete</t>
        </is>
      </c>
      <c r="J18" s="27" t="inlineStr">
        <is>
          <t>Three allocation models identified. Riverton prefers usage-based; the County prefers ownership-based.</t>
        </is>
      </c>
      <c r="K18" s="27" t="inlineStr">
        <is>
          <t>Draft comparison of the three models.</t>
        </is>
      </c>
      <c r="L18" s="55" t="str">
        <f>IF(tblActions[[#This Row],[Date]]="","","Q"&amp;(INT(MOD(MONTH(tblActions[[#This Row],[Date]])-StartMonth,12)/3)+1))</f>
        <v>Q1</v>
      </c>
      <c r="M18" s="53" t="str">
        <f>IF(tblActions[[#This Row],[ID]]="","",IF(tblActions[[#This Row],[Status]]="Complete","Done",IF(OR(tblActions[[#This Row],[Status]]="Deferred",tblActions[[#This Row],[Status]]="Cancelled"),"Not Pursued",IF(tblActions[[#This Row],[Date]]="","No Date",IF(tblActions[[#This Row],[Date]]&lt;AsOf,"Overdue",IF(tblActions[[#This Row],[Date]]-AsOf&lt;=7,"Due Within 7 Days","Scheduled"))))))</f>
        <v>Done</v>
      </c>
      <c r="N18" s="51" t="str">
        <f>IF(tblActions[[#This Row],[Timing Flag]]="Overdue",AsOf-tblActions[[#This Row],[Date]],"")</f>
        <v/>
      </c>
    </row>
    <row r="19">
      <c r="A19" s="49" t="inlineStr">
        <is>
          <t>ACT-014</t>
        </is>
      </c>
      <c r="B19" s="50" t="n">
        <v>46435</v>
      </c>
      <c r="C19" s="27" t="inlineStr">
        <is>
          <t>Coalition Work</t>
        </is>
      </c>
      <c r="D19" s="27" t="inlineStr">
        <is>
          <t>Joint letter with Riverton City to the House committee on the HB 388 amendment</t>
        </is>
      </c>
      <c r="E19" s="49" t="inlineStr">
        <is>
          <t>OBJ-2</t>
        </is>
      </c>
      <c r="F19" s="49" t="inlineStr">
        <is>
          <t>REL-06</t>
        </is>
      </c>
      <c r="G19" s="49" t="inlineStr">
        <is>
          <t>LEG-02</t>
        </is>
      </c>
      <c r="H19" s="49" t="inlineStr">
        <is>
          <t>Jordan Pike</t>
        </is>
      </c>
      <c r="I19" s="49" t="inlineStr">
        <is>
          <t>Complete</t>
        </is>
      </c>
      <c r="J19" s="27" t="inlineStr">
        <is>
          <t>Letter delivered over both signatures. A rare point of agreement with Riverton.</t>
        </is>
      </c>
      <c r="K19" s="27" t="inlineStr">
        <is>
          <t>Prepare testimony.</t>
        </is>
      </c>
      <c r="L19" s="55" t="str">
        <f>IF(tblActions[[#This Row],[Date]]="","","Q"&amp;(INT(MOD(MONTH(tblActions[[#This Row],[Date]])-StartMonth,12)/3)+1))</f>
        <v>Q1</v>
      </c>
      <c r="M19" s="53" t="str">
        <f>IF(tblActions[[#This Row],[ID]]="","",IF(tblActions[[#This Row],[Status]]="Complete","Done",IF(OR(tblActions[[#This Row],[Status]]="Deferred",tblActions[[#This Row],[Status]]="Cancelled"),"Not Pursued",IF(tblActions[[#This Row],[Date]]="","No Date",IF(tblActions[[#This Row],[Date]]&lt;AsOf,"Overdue",IF(tblActions[[#This Row],[Date]]-AsOf&lt;=7,"Due Within 7 Days","Scheduled"))))))</f>
        <v>Done</v>
      </c>
      <c r="N19" s="51" t="str">
        <f>IF(tblActions[[#This Row],[Timing Flag]]="Overdue",AsOf-tblActions[[#This Row],[Date]],"")</f>
        <v/>
      </c>
    </row>
    <row r="20">
      <c r="A20" s="49" t="inlineStr">
        <is>
          <t>ACT-015</t>
        </is>
      </c>
      <c r="B20" s="50" t="n">
        <v>46436</v>
      </c>
      <c r="C20" s="27" t="inlineStr">
        <is>
          <t>Meeting</t>
        </is>
      </c>
      <c r="D20" s="27" t="inlineStr">
        <is>
          <t>Brief the State Revenue Department on SB 214 rate base assumptions</t>
        </is>
      </c>
      <c r="E20" s="49" t="inlineStr">
        <is>
          <t>OBJ-1</t>
        </is>
      </c>
      <c r="F20" s="49" t="inlineStr">
        <is>
          <t>REL-14</t>
        </is>
      </c>
      <c r="G20" s="49" t="inlineStr">
        <is>
          <t>LEG-01</t>
        </is>
      </c>
      <c r="H20" s="49" t="inlineStr">
        <is>
          <t>Jordan Pike</t>
        </is>
      </c>
      <c r="I20" s="49" t="inlineStr">
        <is>
          <t>Complete</t>
        </is>
      </c>
      <c r="J20" s="27" t="inlineStr">
        <is>
          <t>Revenue staff accepted the assumptions and flagged an administration lead time of about two quarters after enactment.</t>
        </is>
      </c>
      <c r="K20" s="27" t="inlineStr">
        <is>
          <t>Reflect lead time in the Budget Office timeline.</t>
        </is>
      </c>
      <c r="L20" s="55" t="str">
        <f>IF(tblActions[[#This Row],[Date]]="","","Q"&amp;(INT(MOD(MONTH(tblActions[[#This Row],[Date]])-StartMonth,12)/3)+1))</f>
        <v>Q1</v>
      </c>
      <c r="M20" s="53" t="str">
        <f>IF(tblActions[[#This Row],[ID]]="","",IF(tblActions[[#This Row],[Status]]="Complete","Done",IF(OR(tblActions[[#This Row],[Status]]="Deferred",tblActions[[#This Row],[Status]]="Cancelled"),"Not Pursued",IF(tblActions[[#This Row],[Date]]="","No Date",IF(tblActions[[#This Row],[Date]]&lt;AsOf,"Overdue",IF(tblActions[[#This Row],[Date]]-AsOf&lt;=7,"Due Within 7 Days","Scheduled"))))))</f>
        <v>Done</v>
      </c>
      <c r="N20" s="51" t="str">
        <f>IF(tblActions[[#This Row],[Timing Flag]]="Overdue",AsOf-tblActions[[#This Row],[Date]],"")</f>
        <v/>
      </c>
    </row>
    <row r="21">
      <c r="A21" s="49" t="inlineStr">
        <is>
          <t>ACT-016</t>
        </is>
      </c>
      <c r="B21" s="50" t="n">
        <v>46442</v>
      </c>
      <c r="C21" s="27" t="inlineStr">
        <is>
          <t>Testimony or Comment</t>
        </is>
      </c>
      <c r="D21" s="27" t="inlineStr">
        <is>
          <t>Testify before the Senate Transportation Committee on SB 214</t>
        </is>
      </c>
      <c r="E21" s="49" t="inlineStr">
        <is>
          <t>OBJ-1</t>
        </is>
      </c>
      <c r="F21" s="49" t="inlineStr">
        <is>
          <t>REL-03</t>
        </is>
      </c>
      <c r="G21" s="49" t="inlineStr">
        <is>
          <t>LEG-01</t>
        </is>
      </c>
      <c r="H21" s="49" t="inlineStr">
        <is>
          <t>Elena Marsh</t>
        </is>
      </c>
      <c r="I21" s="49" t="inlineStr">
        <is>
          <t>Complete</t>
        </is>
      </c>
      <c r="J21" s="27" t="inlineStr">
        <is>
          <t>Committee reported the bill favorably.</t>
        </is>
      </c>
      <c r="K21" s="27" t="inlineStr">
        <is>
          <t>Prepare floor support materials.</t>
        </is>
      </c>
      <c r="L21" s="55" t="str">
        <f>IF(tblActions[[#This Row],[Date]]="","","Q"&amp;(INT(MOD(MONTH(tblActions[[#This Row],[Date]])-StartMonth,12)/3)+1))</f>
        <v>Q1</v>
      </c>
      <c r="M21" s="53" t="str">
        <f>IF(tblActions[[#This Row],[ID]]="","",IF(tblActions[[#This Row],[Status]]="Complete","Done",IF(OR(tblActions[[#This Row],[Status]]="Deferred",tblActions[[#This Row],[Status]]="Cancelled"),"Not Pursued",IF(tblActions[[#This Row],[Date]]="","No Date",IF(tblActions[[#This Row],[Date]]&lt;AsOf,"Overdue",IF(tblActions[[#This Row],[Date]]-AsOf&lt;=7,"Due Within 7 Days","Scheduled"))))))</f>
        <v>Done</v>
      </c>
      <c r="N21" s="51" t="str">
        <f>IF(tblActions[[#This Row],[Timing Flag]]="Overdue",AsOf-tblActions[[#This Row],[Date]],"")</f>
        <v/>
      </c>
    </row>
    <row r="22">
      <c r="A22" s="49" t="inlineStr">
        <is>
          <t>ACT-017</t>
        </is>
      </c>
      <c r="B22" s="50" t="n">
        <v>46443</v>
      </c>
      <c r="C22" s="27" t="inlineStr">
        <is>
          <t>Briefing</t>
        </is>
      </c>
      <c r="D22" s="27" t="inlineStr">
        <is>
          <t>Go or no-go briefing to the County Executive on the federal application</t>
        </is>
      </c>
      <c r="E22" s="49" t="inlineStr">
        <is>
          <t>OBJ-3</t>
        </is>
      </c>
      <c r="F22" s="49" t="inlineStr">
        <is>
          <t>REL-01</t>
        </is>
      </c>
      <c r="G22" s="49" t="inlineStr">
        <is>
          <t>ADM-01</t>
        </is>
      </c>
      <c r="H22" s="49" t="inlineStr">
        <is>
          <t>Samuel Ortega</t>
        </is>
      </c>
      <c r="I22" s="49" t="inlineStr">
        <is>
          <t>Complete</t>
        </is>
      </c>
      <c r="J22" s="27" t="inlineStr">
        <is>
          <t>County Executive approved pursuing the application, conditioned on a match plan, and asked for monthly progress notes.</t>
        </is>
      </c>
      <c r="K22" s="27" t="inlineStr">
        <is>
          <t>Open discussions with State DOT on match.</t>
        </is>
      </c>
      <c r="L22" s="55" t="str">
        <f>IF(tblActions[[#This Row],[Date]]="","","Q"&amp;(INT(MOD(MONTH(tblActions[[#This Row],[Date]])-StartMonth,12)/3)+1))</f>
        <v>Q1</v>
      </c>
      <c r="M22" s="53" t="str">
        <f>IF(tblActions[[#This Row],[ID]]="","",IF(tblActions[[#This Row],[Status]]="Complete","Done",IF(OR(tblActions[[#This Row],[Status]]="Deferred",tblActions[[#This Row],[Status]]="Cancelled"),"Not Pursued",IF(tblActions[[#This Row],[Date]]="","No Date",IF(tblActions[[#This Row],[Date]]&lt;AsOf,"Overdue",IF(tblActions[[#This Row],[Date]]-AsOf&lt;=7,"Due Within 7 Days","Scheduled"))))))</f>
        <v>Done</v>
      </c>
      <c r="N22" s="51" t="str">
        <f>IF(tblActions[[#This Row],[Timing Flag]]="Overdue",AsOf-tblActions[[#This Row],[Date]],"")</f>
        <v/>
      </c>
    </row>
    <row r="23">
      <c r="A23" s="49" t="inlineStr">
        <is>
          <t>ACT-018</t>
        </is>
      </c>
      <c r="B23" s="50" t="n">
        <v>46444</v>
      </c>
      <c r="C23" s="27" t="inlineStr">
        <is>
          <t>Briefing</t>
        </is>
      </c>
      <c r="D23" s="27" t="inlineStr">
        <is>
          <t>Brief the Board Chair on cleared HB 388 lines after a commissioner's public remark</t>
        </is>
      </c>
      <c r="E23" s="49" t="inlineStr">
        <is>
          <t>OBJ-2</t>
        </is>
      </c>
      <c r="F23" s="49" t="inlineStr">
        <is>
          <t>REL-02</t>
        </is>
      </c>
      <c r="G23" s="49" t="inlineStr">
        <is>
          <t>LEG-02</t>
        </is>
      </c>
      <c r="H23" s="49" t="inlineStr">
        <is>
          <t>Elena Marsh</t>
        </is>
      </c>
      <c r="I23" s="49" t="inlineStr">
        <is>
          <t>Complete</t>
        </is>
      </c>
      <c r="J23" s="27" t="inlineStr">
        <is>
          <t>Chair agreed to remind commissioners to use cleared language. No further public statements.</t>
        </is>
      </c>
      <c r="K23" s="27" t="inlineStr">
        <is>
          <t>None.</t>
        </is>
      </c>
      <c r="L23" s="55" t="str">
        <f>IF(tblActions[[#This Row],[Date]]="","","Q"&amp;(INT(MOD(MONTH(tblActions[[#This Row],[Date]])-StartMonth,12)/3)+1))</f>
        <v>Q1</v>
      </c>
      <c r="M23" s="53" t="str">
        <f>IF(tblActions[[#This Row],[ID]]="","",IF(tblActions[[#This Row],[Status]]="Complete","Done",IF(OR(tblActions[[#This Row],[Status]]="Deferred",tblActions[[#This Row],[Status]]="Cancelled"),"Not Pursued",IF(tblActions[[#This Row],[Date]]="","No Date",IF(tblActions[[#This Row],[Date]]&lt;AsOf,"Overdue",IF(tblActions[[#This Row],[Date]]-AsOf&lt;=7,"Due Within 7 Days","Scheduled"))))))</f>
        <v>Done</v>
      </c>
      <c r="N23" s="51" t="str">
        <f>IF(tblActions[[#This Row],[Timing Flag]]="Overdue",AsOf-tblActions[[#This Row],[Date]],"")</f>
        <v/>
      </c>
    </row>
    <row r="24">
      <c r="A24" s="49" t="inlineStr">
        <is>
          <t>ACT-019</t>
        </is>
      </c>
      <c r="B24" s="50" t="n">
        <v>46448</v>
      </c>
      <c r="C24" s="27" t="inlineStr">
        <is>
          <t>Testimony or Comment</t>
        </is>
      </c>
      <c r="D24" s="27" t="inlineStr">
        <is>
          <t>Testify on HB 388 in the House Local Government and Transportation Committee</t>
        </is>
      </c>
      <c r="E24" s="49" t="inlineStr">
        <is>
          <t>OBJ-2</t>
        </is>
      </c>
      <c r="F24" s="49" t="inlineStr">
        <is>
          <t>REL-04</t>
        </is>
      </c>
      <c r="G24" s="49" t="inlineStr">
        <is>
          <t>LEG-02</t>
        </is>
      </c>
      <c r="H24" s="49" t="inlineStr">
        <is>
          <t>Jordan Pike</t>
        </is>
      </c>
      <c r="I24" s="49" t="inlineStr">
        <is>
          <t>Complete</t>
        </is>
      </c>
      <c r="J24" s="27" t="inlineStr">
        <is>
          <t>Committee scheduled markup. Sponsor Rep. Ames said he would seek to restore uniformity language in the Senate.</t>
        </is>
      </c>
      <c r="K24" s="27" t="inlineStr">
        <is>
          <t>Track markup and counts.</t>
        </is>
      </c>
      <c r="L24" s="55" t="str">
        <f>IF(tblActions[[#This Row],[Date]]="","","Q"&amp;(INT(MOD(MONTH(tblActions[[#This Row],[Date]])-StartMonth,12)/3)+1))</f>
        <v>Q1</v>
      </c>
      <c r="M24" s="53" t="str">
        <f>IF(tblActions[[#This Row],[ID]]="","",IF(tblActions[[#This Row],[Status]]="Complete","Done",IF(OR(tblActions[[#This Row],[Status]]="Deferred",tblActions[[#This Row],[Status]]="Cancelled"),"Not Pursued",IF(tblActions[[#This Row],[Date]]="","No Date",IF(tblActions[[#This Row],[Date]]&lt;AsOf,"Overdue",IF(tblActions[[#This Row],[Date]]-AsOf&lt;=7,"Due Within 7 Days","Scheduled"))))))</f>
        <v>Done</v>
      </c>
      <c r="N24" s="51" t="str">
        <f>IF(tblActions[[#This Row],[Timing Flag]]="Overdue",AsOf-tblActions[[#This Row],[Date]],"")</f>
        <v/>
      </c>
    </row>
    <row r="25">
      <c r="A25" s="49" t="inlineStr">
        <is>
          <t>ACT-020</t>
        </is>
      </c>
      <c r="B25" s="50" t="n">
        <v>46449</v>
      </c>
      <c r="C25" s="27" t="inlineStr">
        <is>
          <t>Meeting</t>
        </is>
      </c>
      <c r="D25" s="27" t="inlineStr">
        <is>
          <t>Meet the Transit Authority executive director on transit lane and cost share</t>
        </is>
      </c>
      <c r="E25" s="49" t="inlineStr">
        <is>
          <t>OBJ-4</t>
        </is>
      </c>
      <c r="F25" s="49" t="inlineStr">
        <is>
          <t>REL-07</t>
        </is>
      </c>
      <c r="G25" s="49" t="inlineStr">
        <is>
          <t>ADM-04</t>
        </is>
      </c>
      <c r="H25" s="49" t="inlineStr">
        <is>
          <t>Alicia Brandt</t>
        </is>
      </c>
      <c r="I25" s="49" t="inlineStr">
        <is>
          <t>Complete</t>
        </is>
      </c>
      <c r="J25" s="27" t="inlineStr">
        <is>
          <t>Authority will support the County's allocation position if a transit lane is in the design basis.</t>
        </is>
      </c>
      <c r="K25" s="27" t="inlineStr">
        <is>
          <t>Test the design basis with Public Works.</t>
        </is>
      </c>
      <c r="L25" s="55" t="str">
        <f>IF(tblActions[[#This Row],[Date]]="","","Q"&amp;(INT(MOD(MONTH(tblActions[[#This Row],[Date]])-StartMonth,12)/3)+1))</f>
        <v>Q1</v>
      </c>
      <c r="M25" s="53" t="str">
        <f>IF(tblActions[[#This Row],[ID]]="","",IF(tblActions[[#This Row],[Status]]="Complete","Done",IF(OR(tblActions[[#This Row],[Status]]="Deferred",tblActions[[#This Row],[Status]]="Cancelled"),"Not Pursued",IF(tblActions[[#This Row],[Date]]="","No Date",IF(tblActions[[#This Row],[Date]]&lt;AsOf,"Overdue",IF(tblActions[[#This Row],[Date]]-AsOf&lt;=7,"Due Within 7 Days","Scheduled"))))))</f>
        <v>Done</v>
      </c>
      <c r="N25" s="51" t="str">
        <f>IF(tblActions[[#This Row],[Timing Flag]]="Overdue",AsOf-tblActions[[#This Row],[Date]],"")</f>
        <v/>
      </c>
    </row>
    <row r="26">
      <c r="A26" s="49" t="inlineStr">
        <is>
          <t>ACT-021</t>
        </is>
      </c>
      <c r="B26" s="50" t="n">
        <v>46450</v>
      </c>
      <c r="C26" s="27" t="inlineStr">
        <is>
          <t>Call or Correspondence</t>
        </is>
      </c>
      <c r="D26" s="27" t="inlineStr">
        <is>
          <t>Confirm House committee vote on HB 388 with the Association and Riverton</t>
        </is>
      </c>
      <c r="E26" s="49" t="inlineStr">
        <is>
          <t>OBJ-2</t>
        </is>
      </c>
      <c r="F26" s="49" t="inlineStr">
        <is>
          <t>REL-12</t>
        </is>
      </c>
      <c r="G26" s="49" t="inlineStr">
        <is>
          <t>LEG-02</t>
        </is>
      </c>
      <c r="H26" s="49" t="inlineStr">
        <is>
          <t>Jordan Pike</t>
        </is>
      </c>
      <c r="I26" s="49" t="inlineStr">
        <is>
          <t>Complete</t>
        </is>
      </c>
      <c r="J26" s="27" t="inlineStr">
        <is>
          <t>Committee adopted the opt-out amendment. The amended bill later passed the House.</t>
        </is>
      </c>
      <c r="K26" s="27" t="inlineStr">
        <is>
          <t>Prepare Senate strategy.</t>
        </is>
      </c>
      <c r="L26" s="55" t="str">
        <f>IF(tblActions[[#This Row],[Date]]="","","Q"&amp;(INT(MOD(MONTH(tblActions[[#This Row],[Date]])-StartMonth,12)/3)+1))</f>
        <v>Q1</v>
      </c>
      <c r="M26" s="53" t="str">
        <f>IF(tblActions[[#This Row],[ID]]="","",IF(tblActions[[#This Row],[Status]]="Complete","Done",IF(OR(tblActions[[#This Row],[Status]]="Deferred",tblActions[[#This Row],[Status]]="Cancelled"),"Not Pursued",IF(tblActions[[#This Row],[Date]]="","No Date",IF(tblActions[[#This Row],[Date]]&lt;AsOf,"Overdue",IF(tblActions[[#This Row],[Date]]-AsOf&lt;=7,"Due Within 7 Days","Scheduled"))))))</f>
        <v>Done</v>
      </c>
      <c r="N26" s="51" t="str">
        <f>IF(tblActions[[#This Row],[Timing Flag]]="Overdue",AsOf-tblActions[[#This Row],[Date]],"")</f>
        <v/>
      </c>
    </row>
    <row r="27">
      <c r="A27" s="49" t="inlineStr">
        <is>
          <t>ACT-022</t>
        </is>
      </c>
      <c r="B27" s="50" t="n">
        <v>46454</v>
      </c>
      <c r="C27" s="27" t="inlineStr">
        <is>
          <t>Meeting</t>
        </is>
      </c>
      <c r="D27" s="27" t="inlineStr">
        <is>
          <t>Meet State DOT local programs staff on the bridge match commitment</t>
        </is>
      </c>
      <c r="E27" s="49" t="inlineStr">
        <is>
          <t>OBJ-3</t>
        </is>
      </c>
      <c r="F27" s="49" t="inlineStr">
        <is>
          <t>REL-05</t>
        </is>
      </c>
      <c r="G27" s="49" t="inlineStr">
        <is>
          <t>ADM-02</t>
        </is>
      </c>
      <c r="H27" s="49" t="inlineStr">
        <is>
          <t>Samuel Ortega</t>
        </is>
      </c>
      <c r="I27" s="49" t="inlineStr">
        <is>
          <t>Complete</t>
        </is>
      </c>
      <c r="J27" s="27" t="inlineStr">
        <is>
          <t>State DOT indicated a match commitment requires an executed local agreement and a formal request. Staff estimate about eight weeks for internal sign-off.</t>
        </is>
      </c>
      <c r="K27" s="27" t="inlineStr">
        <is>
          <t>Provide the agreement timeline to State DOT.</t>
        </is>
      </c>
      <c r="L27" s="55" t="str">
        <f>IF(tblActions[[#This Row],[Date]]="","","Q"&amp;(INT(MOD(MONTH(tblActions[[#This Row],[Date]])-StartMonth,12)/3)+1))</f>
        <v>Q1</v>
      </c>
      <c r="M27" s="53" t="str">
        <f>IF(tblActions[[#This Row],[ID]]="","",IF(tblActions[[#This Row],[Status]]="Complete","Done",IF(OR(tblActions[[#This Row],[Status]]="Deferred",tblActions[[#This Row],[Status]]="Cancelled"),"Not Pursued",IF(tblActions[[#This Row],[Date]]="","No Date",IF(tblActions[[#This Row],[Date]]&lt;AsOf,"Overdue",IF(tblActions[[#This Row],[Date]]-AsOf&lt;=7,"Due Within 7 Days","Scheduled"))))))</f>
        <v>Done</v>
      </c>
      <c r="N27" s="51" t="str">
        <f>IF(tblActions[[#This Row],[Timing Flag]]="Overdue",AsOf-tblActions[[#This Row],[Date]],"")</f>
        <v/>
      </c>
    </row>
    <row r="28">
      <c r="A28" s="49" t="inlineStr">
        <is>
          <t>ACT-023</t>
        </is>
      </c>
      <c r="B28" s="50" t="n">
        <v>46456</v>
      </c>
      <c r="C28" s="27" t="inlineStr">
        <is>
          <t>Call or Correspondence</t>
        </is>
      </c>
      <c r="D28" s="27" t="inlineStr">
        <is>
          <t>Confirm SB 214 passage in the Senate; thank sponsor; brief the Board</t>
        </is>
      </c>
      <c r="E28" s="49" t="inlineStr">
        <is>
          <t>OBJ-1</t>
        </is>
      </c>
      <c r="F28" s="49" t="inlineStr">
        <is>
          <t>REL-03</t>
        </is>
      </c>
      <c r="G28" s="49" t="inlineStr">
        <is>
          <t>LEG-01</t>
        </is>
      </c>
      <c r="H28" s="49" t="inlineStr">
        <is>
          <t>Jordan Pike</t>
        </is>
      </c>
      <c r="I28" s="49" t="inlineStr">
        <is>
          <t>Complete</t>
        </is>
      </c>
      <c r="J28" s="27" t="inlineStr">
        <is>
          <t>Bill passed the originating chamber two days ahead of the deadline.</t>
        </is>
      </c>
      <c r="K28" s="27" t="inlineStr">
        <is>
          <t>Prepare for House committee.</t>
        </is>
      </c>
      <c r="L28" s="55" t="str">
        <f>IF(tblActions[[#This Row],[Date]]="","","Q"&amp;(INT(MOD(MONTH(tblActions[[#This Row],[Date]])-StartMonth,12)/3)+1))</f>
        <v>Q1</v>
      </c>
      <c r="M28" s="53" t="str">
        <f>IF(tblActions[[#This Row],[ID]]="","",IF(tblActions[[#This Row],[Status]]="Complete","Done",IF(OR(tblActions[[#This Row],[Status]]="Deferred",tblActions[[#This Row],[Status]]="Cancelled"),"Not Pursued",IF(tblActions[[#This Row],[Date]]="","No Date",IF(tblActions[[#This Row],[Date]]&lt;AsOf,"Overdue",IF(tblActions[[#This Row],[Date]]-AsOf&lt;=7,"Due Within 7 Days","Scheduled"))))))</f>
        <v>Done</v>
      </c>
      <c r="N28" s="51" t="str">
        <f>IF(tblActions[[#This Row],[Timing Flag]]="Overdue",AsOf-tblActions[[#This Row],[Date]],"")</f>
        <v/>
      </c>
    </row>
    <row r="29">
      <c r="A29" s="49" t="inlineStr">
        <is>
          <t>ACT-024</t>
        </is>
      </c>
      <c r="B29" s="50" t="n">
        <v>46464</v>
      </c>
      <c r="C29" s="27" t="inlineStr">
        <is>
          <t>Internal Clearance</t>
        </is>
      </c>
      <c r="D29" s="27" t="inlineStr">
        <is>
          <t>Prepare escalation memo on the Riverton cost allocation stalemate for the Deputy County Executive</t>
        </is>
      </c>
      <c r="E29" s="49" t="inlineStr">
        <is>
          <t>OBJ-4</t>
        </is>
      </c>
      <c r="F29" s="49" t="inlineStr">
        <is>
          <t>REL-06</t>
        </is>
      </c>
      <c r="G29" s="49" t="inlineStr">
        <is>
          <t>ADM-04</t>
        </is>
      </c>
      <c r="H29" s="49" t="inlineStr">
        <is>
          <t>Alicia Brandt</t>
        </is>
      </c>
      <c r="I29" s="49" t="inlineStr">
        <is>
          <t>Complete</t>
        </is>
      </c>
      <c r="J29" s="27" t="inlineStr">
        <is>
          <t>Memo set out the three models and a proposed negotiating range for authorization.</t>
        </is>
      </c>
      <c r="K29" s="27" t="inlineStr">
        <is>
          <t>Obtain authorization.</t>
        </is>
      </c>
      <c r="L29" s="55" t="str">
        <f>IF(tblActions[[#This Row],[Date]]="","","Q"&amp;(INT(MOD(MONTH(tblActions[[#This Row],[Date]])-StartMonth,12)/3)+1))</f>
        <v>Q1</v>
      </c>
      <c r="M29" s="53" t="str">
        <f>IF(tblActions[[#This Row],[ID]]="","",IF(tblActions[[#This Row],[Status]]="Complete","Done",IF(OR(tblActions[[#This Row],[Status]]="Deferred",tblActions[[#This Row],[Status]]="Cancelled"),"Not Pursued",IF(tblActions[[#This Row],[Date]]="","No Date",IF(tblActions[[#This Row],[Date]]&lt;AsOf,"Overdue",IF(tblActions[[#This Row],[Date]]-AsOf&lt;=7,"Due Within 7 Days","Scheduled"))))))</f>
        <v>Done</v>
      </c>
      <c r="N29" s="51" t="str">
        <f>IF(tblActions[[#This Row],[Timing Flag]]="Overdue",AsOf-tblActions[[#This Row],[Date]],"")</f>
        <v/>
      </c>
    </row>
    <row r="30">
      <c r="A30" s="49" t="inlineStr">
        <is>
          <t>ACT-025</t>
        </is>
      </c>
      <c r="B30" s="50" t="n">
        <v>46468</v>
      </c>
      <c r="C30" s="27" t="inlineStr">
        <is>
          <t>Written Submission</t>
        </is>
      </c>
      <c r="D30" s="27" t="inlineStr">
        <is>
          <t>Send invitation letter to the Three Fords Tribal Chairperson over the County Executive's signature</t>
        </is>
      </c>
      <c r="E30" s="49" t="inlineStr">
        <is>
          <t>OBJ-5</t>
        </is>
      </c>
      <c r="F30" s="49" t="inlineStr">
        <is>
          <t>REL-08</t>
        </is>
      </c>
      <c r="G30" s="49" t="inlineStr">
        <is>
          <t>ADM-03</t>
        </is>
      </c>
      <c r="H30" s="49" t="inlineStr">
        <is>
          <t>Elena Marsh</t>
        </is>
      </c>
      <c r="I30" s="49" t="inlineStr">
        <is>
          <t>In Progress</t>
        </is>
      </c>
      <c r="J30" s="27" t="inlineStr">
        <is>
          <t>Letter drafted and cleared. Awaiting County Executive signature.</t>
        </is>
      </c>
      <c r="K30" s="27" t="inlineStr">
        <is>
          <t>Obtain signature and send.</t>
        </is>
      </c>
      <c r="L30" s="55" t="str">
        <f>IF(tblActions[[#This Row],[Date]]="","","Q"&amp;(INT(MOD(MONTH(tblActions[[#This Row],[Date]])-StartMonth,12)/3)+1))</f>
        <v>Q1</v>
      </c>
      <c r="M30" s="53" t="str">
        <f>IF(tblActions[[#This Row],[ID]]="","",IF(tblActions[[#This Row],[Status]]="Complete","Done",IF(OR(tblActions[[#This Row],[Status]]="Deferred",tblActions[[#This Row],[Status]]="Cancelled"),"Not Pursued",IF(tblActions[[#This Row],[Date]]="","No Date",IF(tblActions[[#This Row],[Date]]&lt;AsOf,"Overdue",IF(tblActions[[#This Row],[Date]]-AsOf&lt;=7,"Due Within 7 Days","Scheduled"))))))</f>
        <v>Overdue</v>
      </c>
      <c r="N30" s="51">
        <f>IF(tblActions[[#This Row],[Timing Flag]]="Overdue",AsOf-tblActions[[#This Row],[Date]],"")</f>
        <v>17</v>
      </c>
    </row>
    <row r="31">
      <c r="A31" s="49" t="inlineStr">
        <is>
          <t>ACT-026</t>
        </is>
      </c>
      <c r="B31" s="50" t="n">
        <v>46469</v>
      </c>
      <c r="C31" s="27" t="inlineStr">
        <is>
          <t>Briefing</t>
        </is>
      </c>
      <c r="D31" s="27" t="inlineStr">
        <is>
          <t>Board work session update on the session and HB 388</t>
        </is>
      </c>
      <c r="E31" s="49" t="inlineStr">
        <is>
          <t>OBJ-1</t>
        </is>
      </c>
      <c r="F31" s="49" t="inlineStr">
        <is>
          <t>REL-02</t>
        </is>
      </c>
      <c r="G31" s="49" t="inlineStr">
        <is>
          <t>LEG-01</t>
        </is>
      </c>
      <c r="H31" s="49" t="inlineStr">
        <is>
          <t>Elena Marsh</t>
        </is>
      </c>
      <c r="I31" s="49" t="inlineStr">
        <is>
          <t>Complete</t>
        </is>
      </c>
      <c r="J31" s="27" t="inlineStr">
        <is>
          <t>Board confirmed positions on both bills and asked for a match fallback analysis.</t>
        </is>
      </c>
      <c r="K31" s="27" t="inlineStr">
        <is>
          <t>Ask Budget Director for scenarios.</t>
        </is>
      </c>
      <c r="L31" s="55" t="str">
        <f>IF(tblActions[[#This Row],[Date]]="","","Q"&amp;(INT(MOD(MONTH(tblActions[[#This Row],[Date]])-StartMonth,12)/3)+1))</f>
        <v>Q1</v>
      </c>
      <c r="M31" s="53" t="str">
        <f>IF(tblActions[[#This Row],[ID]]="","",IF(tblActions[[#This Row],[Status]]="Complete","Done",IF(OR(tblActions[[#This Row],[Status]]="Deferred",tblActions[[#This Row],[Status]]="Cancelled"),"Not Pursued",IF(tblActions[[#This Row],[Date]]="","No Date",IF(tblActions[[#This Row],[Date]]&lt;AsOf,"Overdue",IF(tblActions[[#This Row],[Date]]-AsOf&lt;=7,"Due Within 7 Days","Scheduled"))))))</f>
        <v>Done</v>
      </c>
      <c r="N31" s="51" t="str">
        <f>IF(tblActions[[#This Row],[Timing Flag]]="Overdue",AsOf-tblActions[[#This Row],[Date]],"")</f>
        <v/>
      </c>
    </row>
    <row r="32">
      <c r="A32" s="49" t="inlineStr">
        <is>
          <t>ACT-027</t>
        </is>
      </c>
      <c r="B32" s="50" t="n">
        <v>46470</v>
      </c>
      <c r="C32" s="27" t="inlineStr">
        <is>
          <t>Meeting</t>
        </is>
      </c>
      <c r="D32" s="27" t="inlineStr">
        <is>
          <t>Pre-application meeting with the federal regional office program staff</t>
        </is>
      </c>
      <c r="E32" s="49" t="inlineStr">
        <is>
          <t>OBJ-3</t>
        </is>
      </c>
      <c r="F32" s="49" t="inlineStr">
        <is>
          <t>REL-09</t>
        </is>
      </c>
      <c r="G32" s="49" t="inlineStr">
        <is>
          <t>ADM-01</t>
        </is>
      </c>
      <c r="H32" s="49" t="inlineStr">
        <is>
          <t>Samuel Ortega</t>
        </is>
      </c>
      <c r="I32" s="49" t="inlineStr">
        <is>
          <t>Complete</t>
        </is>
      </c>
      <c r="J32" s="27" t="inlineStr">
        <is>
          <t>Staff described emphasis on committed match and regional benefit. Notice timing remains unconfirmed.</t>
        </is>
      </c>
      <c r="K32" s="27" t="inlineStr">
        <is>
          <t>Submit written questions on match eligibility.</t>
        </is>
      </c>
      <c r="L32" s="55" t="str">
        <f>IF(tblActions[[#This Row],[Date]]="","","Q"&amp;(INT(MOD(MONTH(tblActions[[#This Row],[Date]])-StartMonth,12)/3)+1))</f>
        <v>Q1</v>
      </c>
      <c r="M32" s="53" t="str">
        <f>IF(tblActions[[#This Row],[ID]]="","",IF(tblActions[[#This Row],[Status]]="Complete","Done",IF(OR(tblActions[[#This Row],[Status]]="Deferred",tblActions[[#This Row],[Status]]="Cancelled"),"Not Pursued",IF(tblActions[[#This Row],[Date]]="","No Date",IF(tblActions[[#This Row],[Date]]&lt;AsOf,"Overdue",IF(tblActions[[#This Row],[Date]]-AsOf&lt;=7,"Due Within 7 Days","Scheduled"))))))</f>
        <v>Done</v>
      </c>
      <c r="N32" s="51" t="str">
        <f>IF(tblActions[[#This Row],[Timing Flag]]="Overdue",AsOf-tblActions[[#This Row],[Date]],"")</f>
        <v/>
      </c>
    </row>
    <row r="33">
      <c r="A33" s="49" t="inlineStr">
        <is>
          <t>ACT-028</t>
        </is>
      </c>
      <c r="B33" s="50" t="n">
        <v>46471</v>
      </c>
      <c r="C33" s="27" t="inlineStr">
        <is>
          <t>Call or Correspondence</t>
        </is>
      </c>
      <c r="D33" s="27" t="inlineStr">
        <is>
          <t>Call with the Association of Counties on Senate vote counts for HB 388</t>
        </is>
      </c>
      <c r="E33" s="49" t="inlineStr">
        <is>
          <t>OBJ-2</t>
        </is>
      </c>
      <c r="F33" s="49" t="inlineStr">
        <is>
          <t>REL-12</t>
        </is>
      </c>
      <c r="G33" s="49" t="inlineStr">
        <is>
          <t>LEG-02</t>
        </is>
      </c>
      <c r="H33" s="49" t="inlineStr">
        <is>
          <t>Jordan Pike</t>
        </is>
      </c>
      <c r="I33" s="49" t="inlineStr">
        <is>
          <t>Complete</t>
        </is>
      </c>
      <c r="J33" s="27" t="inlineStr">
        <is>
          <t>Association counts the Senate committee as leaning toward retaining the opt-out.</t>
        </is>
      </c>
      <c r="K33" s="27" t="inlineStr">
        <is>
          <t>Confirm counts again Apr 13.</t>
        </is>
      </c>
      <c r="L33" s="55" t="str">
        <f>IF(tblActions[[#This Row],[Date]]="","","Q"&amp;(INT(MOD(MONTH(tblActions[[#This Row],[Date]])-StartMonth,12)/3)+1))</f>
        <v>Q1</v>
      </c>
      <c r="M33" s="53" t="str">
        <f>IF(tblActions[[#This Row],[ID]]="","",IF(tblActions[[#This Row],[Status]]="Complete","Done",IF(OR(tblActions[[#This Row],[Status]]="Deferred",tblActions[[#This Row],[Status]]="Cancelled"),"Not Pursued",IF(tblActions[[#This Row],[Date]]="","No Date",IF(tblActions[[#This Row],[Date]]&lt;AsOf,"Overdue",IF(tblActions[[#This Row],[Date]]-AsOf&lt;=7,"Due Within 7 Days","Scheduled"))))))</f>
        <v>Done</v>
      </c>
      <c r="N33" s="51" t="str">
        <f>IF(tblActions[[#This Row],[Timing Flag]]="Overdue",AsOf-tblActions[[#This Row],[Date]],"")</f>
        <v/>
      </c>
    </row>
    <row r="34">
      <c r="A34" s="49" t="inlineStr">
        <is>
          <t>ACT-029</t>
        </is>
      </c>
      <c r="B34" s="50" t="n">
        <v>46476</v>
      </c>
      <c r="C34" s="27" t="inlineStr">
        <is>
          <t>Briefing</t>
        </is>
      </c>
      <c r="D34" s="27" t="inlineStr">
        <is>
          <t>Brief the Deputy County Executive on HB 530 and request a position</t>
        </is>
      </c>
      <c r="E34" s="49" t="inlineStr">
        <is>
          <t>OBJ-1</t>
        </is>
      </c>
      <c r="F34" s="49" t="inlineStr">
        <is>
          <t>REL-01</t>
        </is>
      </c>
      <c r="G34" s="49" t="inlineStr">
        <is>
          <t>LEG-03</t>
        </is>
      </c>
      <c r="H34" s="49" t="inlineStr">
        <is>
          <t>Jordan Pike</t>
        </is>
      </c>
      <c r="I34" s="49" t="inlineStr">
        <is>
          <t>Complete</t>
        </is>
      </c>
      <c r="J34" s="27" t="inlineStr">
        <is>
          <t>Budget Office estimate not yet available. Position held at undecided.</t>
        </is>
      </c>
      <c r="K34" s="27" t="inlineStr">
        <is>
          <t>Return with the estimate.</t>
        </is>
      </c>
      <c r="L34" s="55" t="str">
        <f>IF(tblActions[[#This Row],[Date]]="","","Q"&amp;(INT(MOD(MONTH(tblActions[[#This Row],[Date]])-StartMonth,12)/3)+1))</f>
        <v>Q1</v>
      </c>
      <c r="M34" s="53" t="str">
        <f>IF(tblActions[[#This Row],[ID]]="","",IF(tblActions[[#This Row],[Status]]="Complete","Done",IF(OR(tblActions[[#This Row],[Status]]="Deferred",tblActions[[#This Row],[Status]]="Cancelled"),"Not Pursued",IF(tblActions[[#This Row],[Date]]="","No Date",IF(tblActions[[#This Row],[Date]]&lt;AsOf,"Overdue",IF(tblActions[[#This Row],[Date]]-AsOf&lt;=7,"Due Within 7 Days","Scheduled"))))))</f>
        <v>Done</v>
      </c>
      <c r="N34" s="51" t="str">
        <f>IF(tblActions[[#This Row],[Timing Flag]]="Overdue",AsOf-tblActions[[#This Row],[Date]],"")</f>
        <v/>
      </c>
    </row>
    <row r="35">
      <c r="A35" s="49" t="inlineStr">
        <is>
          <t>ACT-030</t>
        </is>
      </c>
      <c r="B35" s="50" t="n">
        <v>46478</v>
      </c>
      <c r="C35" s="27" t="inlineStr">
        <is>
          <t>Call or Correspondence</t>
        </is>
      </c>
      <c r="D35" s="27" t="inlineStr">
        <is>
          <t>Deliver the County's cost allocation proposal to Riverton and the Transit Authority</t>
        </is>
      </c>
      <c r="E35" s="49" t="inlineStr">
        <is>
          <t>OBJ-4</t>
        </is>
      </c>
      <c r="F35" s="49" t="inlineStr">
        <is>
          <t>REL-06</t>
        </is>
      </c>
      <c r="G35" s="49" t="inlineStr">
        <is>
          <t>ADM-04</t>
        </is>
      </c>
      <c r="H35" s="49" t="inlineStr">
        <is>
          <t>Alicia Brandt</t>
        </is>
      </c>
      <c r="I35" s="49" t="inlineStr">
        <is>
          <t>Complete</t>
        </is>
      </c>
      <c r="J35" s="27" t="inlineStr">
        <is>
          <t>Proposal delivered inside the authorized range. Riverton asked for two weeks to review with its council committee.</t>
        </is>
      </c>
      <c r="K35" s="27" t="inlineStr">
        <is>
          <t>Follow up Apr 15.</t>
        </is>
      </c>
      <c r="L35" s="55" t="str">
        <f>IF(tblActions[[#This Row],[Date]]="","","Q"&amp;(INT(MOD(MONTH(tblActions[[#This Row],[Date]])-StartMonth,12)/3)+1))</f>
        <v>Q2</v>
      </c>
      <c r="M35" s="53" t="str">
        <f>IF(tblActions[[#This Row],[ID]]="","",IF(tblActions[[#This Row],[Status]]="Complete","Done",IF(OR(tblActions[[#This Row],[Status]]="Deferred",tblActions[[#This Row],[Status]]="Cancelled"),"Not Pursued",IF(tblActions[[#This Row],[Date]]="","No Date",IF(tblActions[[#This Row],[Date]]&lt;AsOf,"Overdue",IF(tblActions[[#This Row],[Date]]-AsOf&lt;=7,"Due Within 7 Days","Scheduled"))))))</f>
        <v>Done</v>
      </c>
      <c r="N35" s="51" t="str">
        <f>IF(tblActions[[#This Row],[Timing Flag]]="Overdue",AsOf-tblActions[[#This Row],[Date]],"")</f>
        <v/>
      </c>
    </row>
    <row r="36">
      <c r="A36" s="49" t="inlineStr">
        <is>
          <t>ACT-031</t>
        </is>
      </c>
      <c r="B36" s="50" t="n">
        <v>46478</v>
      </c>
      <c r="C36" s="27" t="inlineStr">
        <is>
          <t>Call or Correspondence</t>
        </is>
      </c>
      <c r="D36" s="27" t="inlineStr">
        <is>
          <t>Confirm the Senate committee schedule for HB 388 with Sen. Dalton's staff</t>
        </is>
      </c>
      <c r="E36" s="49" t="inlineStr">
        <is>
          <t>OBJ-2</t>
        </is>
      </c>
      <c r="F36" s="49" t="inlineStr">
        <is>
          <t>REL-03</t>
        </is>
      </c>
      <c r="G36" s="49" t="inlineStr">
        <is>
          <t>LEG-02</t>
        </is>
      </c>
      <c r="H36" s="49" t="inlineStr">
        <is>
          <t>Jordan Pike</t>
        </is>
      </c>
      <c r="I36" s="49" t="inlineStr">
        <is>
          <t>Complete</t>
        </is>
      </c>
      <c r="J36" s="27" t="inlineStr">
        <is>
          <t>Committee action set for Apr 16.</t>
        </is>
      </c>
      <c r="K36" s="27" t="inlineStr">
        <is>
          <t>Prepare testimony.</t>
        </is>
      </c>
      <c r="L36" s="55" t="str">
        <f>IF(tblActions[[#This Row],[Date]]="","","Q"&amp;(INT(MOD(MONTH(tblActions[[#This Row],[Date]])-StartMonth,12)/3)+1))</f>
        <v>Q2</v>
      </c>
      <c r="M36" s="53" t="str">
        <f>IF(tblActions[[#This Row],[ID]]="","",IF(tblActions[[#This Row],[Status]]="Complete","Done",IF(OR(tblActions[[#This Row],[Status]]="Deferred",tblActions[[#This Row],[Status]]="Cancelled"),"Not Pursued",IF(tblActions[[#This Row],[Date]]="","No Date",IF(tblActions[[#This Row],[Date]]&lt;AsOf,"Overdue",IF(tblActions[[#This Row],[Date]]-AsOf&lt;=7,"Due Within 7 Days","Scheduled"))))))</f>
        <v>Done</v>
      </c>
      <c r="N36" s="51" t="str">
        <f>IF(tblActions[[#This Row],[Timing Flag]]="Overdue",AsOf-tblActions[[#This Row],[Date]],"")</f>
        <v/>
      </c>
    </row>
    <row r="37">
      <c r="A37" s="49" t="inlineStr">
        <is>
          <t>ACT-032</t>
        </is>
      </c>
      <c r="B37" s="50" t="n">
        <v>46479</v>
      </c>
      <c r="C37" s="27" t="inlineStr">
        <is>
          <t>Written Submission</t>
        </is>
      </c>
      <c r="D37" s="27" t="inlineStr">
        <is>
          <t>Submit written questions to the federal regional office on match eligibility and in-kind contributions</t>
        </is>
      </c>
      <c r="E37" s="49" t="inlineStr">
        <is>
          <t>OBJ-3</t>
        </is>
      </c>
      <c r="F37" s="49" t="inlineStr">
        <is>
          <t>REL-09</t>
        </is>
      </c>
      <c r="G37" s="49" t="inlineStr">
        <is>
          <t>ADM-01</t>
        </is>
      </c>
      <c r="H37" s="49" t="inlineStr">
        <is>
          <t>Samuel Ortega</t>
        </is>
      </c>
      <c r="I37" s="49" t="inlineStr">
        <is>
          <t>In Progress</t>
        </is>
      </c>
      <c r="J37" s="27" t="inlineStr">
        <is>
          <t>Draft prepared with the Budget Director. Not yet sent.</t>
        </is>
      </c>
      <c r="K37" s="27" t="inlineStr">
        <is>
          <t>Send after Budget Director review.</t>
        </is>
      </c>
      <c r="L37" s="55" t="str">
        <f>IF(tblActions[[#This Row],[Date]]="","","Q"&amp;(INT(MOD(MONTH(tblActions[[#This Row],[Date]])-StartMonth,12)/3)+1))</f>
        <v>Q2</v>
      </c>
      <c r="M37" s="53" t="str">
        <f>IF(tblActions[[#This Row],[ID]]="","",IF(tblActions[[#This Row],[Status]]="Complete","Done",IF(OR(tblActions[[#This Row],[Status]]="Deferred",tblActions[[#This Row],[Status]]="Cancelled"),"Not Pursued",IF(tblActions[[#This Row],[Date]]="","No Date",IF(tblActions[[#This Row],[Date]]&lt;AsOf,"Overdue",IF(tblActions[[#This Row],[Date]]-AsOf&lt;=7,"Due Within 7 Days","Scheduled"))))))</f>
        <v>Overdue</v>
      </c>
      <c r="N37" s="51">
        <f>IF(tblActions[[#This Row],[Timing Flag]]="Overdue",AsOf-tblActions[[#This Row],[Date]],"")</f>
        <v>6</v>
      </c>
    </row>
    <row r="38">
      <c r="A38" s="49" t="inlineStr">
        <is>
          <t>ACT-033</t>
        </is>
      </c>
      <c r="B38" s="50" t="n">
        <v>46482</v>
      </c>
      <c r="C38" s="27" t="inlineStr">
        <is>
          <t>Call or Correspondence</t>
        </is>
      </c>
      <c r="D38" s="27" t="inlineStr">
        <is>
          <t>Raise the match fallback with the County Executive</t>
        </is>
      </c>
      <c r="E38" s="49" t="inlineStr">
        <is>
          <t>OBJ-3</t>
        </is>
      </c>
      <c r="F38" s="49" t="inlineStr">
        <is>
          <t>REL-01</t>
        </is>
      </c>
      <c r="G38" s="49" t="inlineStr">
        <is>
          <t>ADM-02</t>
        </is>
      </c>
      <c r="H38" s="49" t="inlineStr">
        <is>
          <t>Elena Marsh</t>
        </is>
      </c>
      <c r="I38" s="49" t="inlineStr">
        <is>
          <t>Complete</t>
        </is>
      </c>
      <c r="J38" s="27" t="inlineStr">
        <is>
          <t>County Executive asked the Budget Director to prepare scenarios.</t>
        </is>
      </c>
      <c r="K38" s="27" t="inlineStr">
        <is>
          <t>Receive scenarios by Apr 16.</t>
        </is>
      </c>
      <c r="L38" s="55" t="str">
        <f>IF(tblActions[[#This Row],[Date]]="","","Q"&amp;(INT(MOD(MONTH(tblActions[[#This Row],[Date]])-StartMonth,12)/3)+1))</f>
        <v>Q2</v>
      </c>
      <c r="M38" s="53" t="str">
        <f>IF(tblActions[[#This Row],[ID]]="","",IF(tblActions[[#This Row],[Status]]="Complete","Done",IF(OR(tblActions[[#This Row],[Status]]="Deferred",tblActions[[#This Row],[Status]]="Cancelled"),"Not Pursued",IF(tblActions[[#This Row],[Date]]="","No Date",IF(tblActions[[#This Row],[Date]]&lt;AsOf,"Overdue",IF(tblActions[[#This Row],[Date]]-AsOf&lt;=7,"Due Within 7 Days","Scheduled"))))))</f>
        <v>Done</v>
      </c>
      <c r="N38" s="51" t="str">
        <f>IF(tblActions[[#This Row],[Timing Flag]]="Overdue",AsOf-tblActions[[#This Row],[Date]],"")</f>
        <v/>
      </c>
    </row>
    <row r="39">
      <c r="A39" s="49" t="inlineStr">
        <is>
          <t>ACT-034</t>
        </is>
      </c>
      <c r="B39" s="50" t="n">
        <v>46482</v>
      </c>
      <c r="C39" s="27" t="inlineStr">
        <is>
          <t>Internal Clearance</t>
        </is>
      </c>
      <c r="D39" s="27" t="inlineStr">
        <is>
          <t>Prepare the Q1 report for the County Executive and Board</t>
        </is>
      </c>
      <c r="E39" s="49" t="inlineStr">
        <is>
          <t>OBJ-6</t>
        </is>
      </c>
      <c r="F39" s="49" t="inlineStr">
        <is>
          <t>REL-01</t>
        </is>
      </c>
      <c r="G39" s="49" t="n"/>
      <c r="H39" s="49" t="inlineStr">
        <is>
          <t>Elena Marsh</t>
        </is>
      </c>
      <c r="I39" s="49" t="inlineStr">
        <is>
          <t>In Progress</t>
        </is>
      </c>
      <c r="J39" s="27" t="inlineStr">
        <is>
          <t>Draft circulating to the sponsor.</t>
        </is>
      </c>
      <c r="K39" s="27" t="inlineStr">
        <is>
          <t>Deliver by Apr 15.</t>
        </is>
      </c>
      <c r="L39" s="55" t="str">
        <f>IF(tblActions[[#This Row],[Date]]="","","Q"&amp;(INT(MOD(MONTH(tblActions[[#This Row],[Date]])-StartMonth,12)/3)+1))</f>
        <v>Q2</v>
      </c>
      <c r="M39" s="53" t="str">
        <f>IF(tblActions[[#This Row],[ID]]="","",IF(tblActions[[#This Row],[Status]]="Complete","Done",IF(OR(tblActions[[#This Row],[Status]]="Deferred",tblActions[[#This Row],[Status]]="Cancelled"),"Not Pursued",IF(tblActions[[#This Row],[Date]]="","No Date",IF(tblActions[[#This Row],[Date]]&lt;AsOf,"Overdue",IF(tblActions[[#This Row],[Date]]-AsOf&lt;=7,"Due Within 7 Days","Scheduled"))))))</f>
        <v>Overdue</v>
      </c>
      <c r="N39" s="51">
        <f>IF(tblActions[[#This Row],[Timing Flag]]="Overdue",AsOf-tblActions[[#This Row],[Date]],"")</f>
        <v>3</v>
      </c>
    </row>
    <row r="40">
      <c r="A40" s="49" t="inlineStr">
        <is>
          <t>ACT-035</t>
        </is>
      </c>
      <c r="B40" s="50" t="n">
        <v>46483</v>
      </c>
      <c r="C40" s="27" t="inlineStr">
        <is>
          <t>Call or Correspondence</t>
        </is>
      </c>
      <c r="D40" s="27" t="inlineStr">
        <is>
          <t>Confirm the Apr 14 hearing date for SB 214 with House committee staff</t>
        </is>
      </c>
      <c r="E40" s="49" t="inlineStr">
        <is>
          <t>OBJ-1</t>
        </is>
      </c>
      <c r="F40" s="49" t="inlineStr">
        <is>
          <t>REL-04</t>
        </is>
      </c>
      <c r="G40" s="49" t="inlineStr">
        <is>
          <t>LEG-01</t>
        </is>
      </c>
      <c r="H40" s="49" t="inlineStr">
        <is>
          <t>Jordan Pike</t>
        </is>
      </c>
      <c r="I40" s="49" t="inlineStr">
        <is>
          <t>Complete</t>
        </is>
      </c>
      <c r="J40" s="27" t="inlineStr">
        <is>
          <t>Hearing noticed for Apr 14.</t>
        </is>
      </c>
      <c r="K40" s="27" t="inlineStr">
        <is>
          <t>Prepare testimony.</t>
        </is>
      </c>
      <c r="L40" s="55" t="str">
        <f>IF(tblActions[[#This Row],[Date]]="","","Q"&amp;(INT(MOD(MONTH(tblActions[[#This Row],[Date]])-StartMonth,12)/3)+1))</f>
        <v>Q2</v>
      </c>
      <c r="M40" s="53" t="str">
        <f>IF(tblActions[[#This Row],[ID]]="","",IF(tblActions[[#This Row],[Status]]="Complete","Done",IF(OR(tblActions[[#This Row],[Status]]="Deferred",tblActions[[#This Row],[Status]]="Cancelled"),"Not Pursued",IF(tblActions[[#This Row],[Date]]="","No Date",IF(tblActions[[#This Row],[Date]]&lt;AsOf,"Overdue",IF(tblActions[[#This Row],[Date]]-AsOf&lt;=7,"Due Within 7 Days","Scheduled"))))))</f>
        <v>Done</v>
      </c>
      <c r="N40" s="51" t="str">
        <f>IF(tblActions[[#This Row],[Timing Flag]]="Overdue",AsOf-tblActions[[#This Row],[Date]],"")</f>
        <v/>
      </c>
    </row>
    <row r="41">
      <c r="A41" s="49" t="inlineStr">
        <is>
          <t>ACT-036</t>
        </is>
      </c>
      <c r="B41" s="50" t="n">
        <v>46486</v>
      </c>
      <c r="C41" s="27" t="inlineStr">
        <is>
          <t>Briefing</t>
        </is>
      </c>
      <c r="D41" s="27" t="inlineStr">
        <is>
          <t>Brief the Deputy County Executive and obtain a position on HB 530</t>
        </is>
      </c>
      <c r="E41" s="49" t="inlineStr">
        <is>
          <t>OBJ-1</t>
        </is>
      </c>
      <c r="F41" s="49" t="inlineStr">
        <is>
          <t>REL-01</t>
        </is>
      </c>
      <c r="G41" s="49" t="inlineStr">
        <is>
          <t>LEG-03</t>
        </is>
      </c>
      <c r="H41" s="49" t="inlineStr">
        <is>
          <t>Jordan Pike</t>
        </is>
      </c>
      <c r="I41" s="49" t="inlineStr">
        <is>
          <t>Planned</t>
        </is>
      </c>
      <c r="J41" s="27" t="n"/>
      <c r="K41" s="27" t="inlineStr">
        <is>
          <t>Clear position and notify the Association.</t>
        </is>
      </c>
      <c r="L41" s="55" t="str">
        <f>IF(tblActions[[#This Row],[Date]]="","","Q"&amp;(INT(MOD(MONTH(tblActions[[#This Row],[Date]])-StartMonth,12)/3)+1))</f>
        <v>Q2</v>
      </c>
      <c r="M41" s="53" t="str">
        <f>IF(tblActions[[#This Row],[ID]]="","",IF(tblActions[[#This Row],[Status]]="Complete","Done",IF(OR(tblActions[[#This Row],[Status]]="Deferred",tblActions[[#This Row],[Status]]="Cancelled"),"Not Pursued",IF(tblActions[[#This Row],[Date]]="","No Date",IF(tblActions[[#This Row],[Date]]&lt;AsOf,"Overdue",IF(tblActions[[#This Row],[Date]]-AsOf&lt;=7,"Due Within 7 Days","Scheduled"))))))</f>
        <v>Due Within 7 Days</v>
      </c>
      <c r="N41" s="51" t="str">
        <f>IF(tblActions[[#This Row],[Timing Flag]]="Overdue",AsOf-tblActions[[#This Row],[Date]],"")</f>
        <v/>
      </c>
    </row>
    <row r="42">
      <c r="A42" s="49" t="inlineStr">
        <is>
          <t>ACT-037</t>
        </is>
      </c>
      <c r="B42" s="50" t="n">
        <v>46490</v>
      </c>
      <c r="C42" s="27" t="inlineStr">
        <is>
          <t>Coalition Work</t>
        </is>
      </c>
      <c r="D42" s="27" t="inlineStr">
        <is>
          <t>Vote count meeting with the Association and Riverton ahead of the House committee vote</t>
        </is>
      </c>
      <c r="E42" s="49" t="inlineStr">
        <is>
          <t>OBJ-1</t>
        </is>
      </c>
      <c r="F42" s="49" t="inlineStr">
        <is>
          <t>REL-12</t>
        </is>
      </c>
      <c r="G42" s="49" t="inlineStr">
        <is>
          <t>LEG-01</t>
        </is>
      </c>
      <c r="H42" s="49" t="inlineStr">
        <is>
          <t>Jordan Pike</t>
        </is>
      </c>
      <c r="I42" s="49" t="inlineStr">
        <is>
          <t>Planned</t>
        </is>
      </c>
      <c r="J42" s="27" t="n"/>
      <c r="K42" s="27" t="inlineStr">
        <is>
          <t>Adjust testimony to the count.</t>
        </is>
      </c>
      <c r="L42" s="55" t="str">
        <f>IF(tblActions[[#This Row],[Date]]="","","Q"&amp;(INT(MOD(MONTH(tblActions[[#This Row],[Date]])-StartMonth,12)/3)+1))</f>
        <v>Q2</v>
      </c>
      <c r="M42" s="53" t="str">
        <f>IF(tblActions[[#This Row],[ID]]="","",IF(tblActions[[#This Row],[Status]]="Complete","Done",IF(OR(tblActions[[#This Row],[Status]]="Deferred",tblActions[[#This Row],[Status]]="Cancelled"),"Not Pursued",IF(tblActions[[#This Row],[Date]]="","No Date",IF(tblActions[[#This Row],[Date]]&lt;AsOf,"Overdue",IF(tblActions[[#This Row],[Date]]-AsOf&lt;=7,"Due Within 7 Days","Scheduled"))))))</f>
        <v>Due Within 7 Days</v>
      </c>
      <c r="N42" s="51" t="str">
        <f>IF(tblActions[[#This Row],[Timing Flag]]="Overdue",AsOf-tblActions[[#This Row],[Date]],"")</f>
        <v/>
      </c>
    </row>
    <row r="43">
      <c r="A43" s="49" t="inlineStr">
        <is>
          <t>ACT-038</t>
        </is>
      </c>
      <c r="B43" s="50" t="n">
        <v>46491</v>
      </c>
      <c r="C43" s="27" t="inlineStr">
        <is>
          <t>Testimony or Comment</t>
        </is>
      </c>
      <c r="D43" s="27" t="inlineStr">
        <is>
          <t>Testify in the House Local Government and Transportation Committee on SB 214</t>
        </is>
      </c>
      <c r="E43" s="49" t="inlineStr">
        <is>
          <t>OBJ-1</t>
        </is>
      </c>
      <c r="F43" s="49" t="inlineStr">
        <is>
          <t>REL-04</t>
        </is>
      </c>
      <c r="G43" s="49" t="inlineStr">
        <is>
          <t>LEG-01</t>
        </is>
      </c>
      <c r="H43" s="49" t="inlineStr">
        <is>
          <t>Elena Marsh</t>
        </is>
      </c>
      <c r="I43" s="49" t="inlineStr">
        <is>
          <t>Planned</t>
        </is>
      </c>
      <c r="J43" s="27" t="n"/>
      <c r="K43" s="27" t="inlineStr">
        <is>
          <t>Report result to Board and Riverton.</t>
        </is>
      </c>
      <c r="L43" s="55" t="str">
        <f>IF(tblActions[[#This Row],[Date]]="","","Q"&amp;(INT(MOD(MONTH(tblActions[[#This Row],[Date]])-StartMonth,12)/3)+1))</f>
        <v>Q2</v>
      </c>
      <c r="M43" s="53" t="str">
        <f>IF(tblActions[[#This Row],[ID]]="","",IF(tblActions[[#This Row],[Status]]="Complete","Done",IF(OR(tblActions[[#This Row],[Status]]="Deferred",tblActions[[#This Row],[Status]]="Cancelled"),"Not Pursued",IF(tblActions[[#This Row],[Date]]="","No Date",IF(tblActions[[#This Row],[Date]]&lt;AsOf,"Overdue",IF(tblActions[[#This Row],[Date]]-AsOf&lt;=7,"Due Within 7 Days","Scheduled"))))))</f>
        <v>Due Within 7 Days</v>
      </c>
      <c r="N43" s="51" t="str">
        <f>IF(tblActions[[#This Row],[Timing Flag]]="Overdue",AsOf-tblActions[[#This Row],[Date]],"")</f>
        <v/>
      </c>
    </row>
    <row r="44">
      <c r="A44" s="49" t="inlineStr">
        <is>
          <t>ACT-039</t>
        </is>
      </c>
      <c r="B44" s="50" t="n">
        <v>46492</v>
      </c>
      <c r="C44" s="27" t="inlineStr">
        <is>
          <t>Written Submission</t>
        </is>
      </c>
      <c r="D44" s="27" t="inlineStr">
        <is>
          <t>Deliver the Q1 report to the County Executive and Board</t>
        </is>
      </c>
      <c r="E44" s="49" t="inlineStr">
        <is>
          <t>OBJ-6</t>
        </is>
      </c>
      <c r="F44" s="49" t="inlineStr">
        <is>
          <t>REL-01</t>
        </is>
      </c>
      <c r="G44" s="49" t="n"/>
      <c r="H44" s="49" t="inlineStr">
        <is>
          <t>Elena Marsh</t>
        </is>
      </c>
      <c r="I44" s="49" t="inlineStr">
        <is>
          <t>Planned</t>
        </is>
      </c>
      <c r="J44" s="27" t="n"/>
      <c r="K44" s="27" t="inlineStr">
        <is>
          <t>Schedule Q2 review.</t>
        </is>
      </c>
      <c r="L44" s="55" t="str">
        <f>IF(tblActions[[#This Row],[Date]]="","","Q"&amp;(INT(MOD(MONTH(tblActions[[#This Row],[Date]])-StartMonth,12)/3)+1))</f>
        <v>Q2</v>
      </c>
      <c r="M44" s="53" t="str">
        <f>IF(tblActions[[#This Row],[ID]]="","",IF(tblActions[[#This Row],[Status]]="Complete","Done",IF(OR(tblActions[[#This Row],[Status]]="Deferred",tblActions[[#This Row],[Status]]="Cancelled"),"Not Pursued",IF(tblActions[[#This Row],[Date]]="","No Date",IF(tblActions[[#This Row],[Date]]&lt;AsOf,"Overdue",IF(tblActions[[#This Row],[Date]]-AsOf&lt;=7,"Due Within 7 Days","Scheduled"))))))</f>
        <v>Due Within 7 Days</v>
      </c>
      <c r="N44" s="51" t="str">
        <f>IF(tblActions[[#This Row],[Timing Flag]]="Overdue",AsOf-tblActions[[#This Row],[Date]],"")</f>
        <v/>
      </c>
    </row>
    <row r="45">
      <c r="A45" s="49" t="inlineStr">
        <is>
          <t>ACT-040</t>
        </is>
      </c>
      <c r="B45" s="50" t="n">
        <v>46493</v>
      </c>
      <c r="C45" s="27" t="inlineStr">
        <is>
          <t>Testimony or Comment</t>
        </is>
      </c>
      <c r="D45" s="27" t="inlineStr">
        <is>
          <t>Appear before the Senate Transportation Committee on HB 388 as amended</t>
        </is>
      </c>
      <c r="E45" s="49" t="inlineStr">
        <is>
          <t>OBJ-2</t>
        </is>
      </c>
      <c r="F45" s="49" t="inlineStr">
        <is>
          <t>REL-03</t>
        </is>
      </c>
      <c r="G45" s="49" t="inlineStr">
        <is>
          <t>LEG-02</t>
        </is>
      </c>
      <c r="H45" s="49" t="inlineStr">
        <is>
          <t>Jordan Pike</t>
        </is>
      </c>
      <c r="I45" s="49" t="inlineStr">
        <is>
          <t>Planned</t>
        </is>
      </c>
      <c r="J45" s="27" t="n"/>
      <c r="K45" s="27" t="inlineStr">
        <is>
          <t>Report result to partners.</t>
        </is>
      </c>
      <c r="L45" s="55" t="str">
        <f>IF(tblActions[[#This Row],[Date]]="","","Q"&amp;(INT(MOD(MONTH(tblActions[[#This Row],[Date]])-StartMonth,12)/3)+1))</f>
        <v>Q2</v>
      </c>
      <c r="M45" s="53" t="str">
        <f>IF(tblActions[[#This Row],[ID]]="","",IF(tblActions[[#This Row],[Status]]="Complete","Done",IF(OR(tblActions[[#This Row],[Status]]="Deferred",tblActions[[#This Row],[Status]]="Cancelled"),"Not Pursued",IF(tblActions[[#This Row],[Date]]="","No Date",IF(tblActions[[#This Row],[Date]]&lt;AsOf,"Overdue",IF(tblActions[[#This Row],[Date]]-AsOf&lt;=7,"Due Within 7 Days","Scheduled"))))))</f>
        <v>Scheduled</v>
      </c>
      <c r="N45" s="51" t="str">
        <f>IF(tblActions[[#This Row],[Timing Flag]]="Overdue",AsOf-tblActions[[#This Row],[Date]],"")</f>
        <v/>
      </c>
    </row>
    <row r="46">
      <c r="A46" s="49" t="inlineStr">
        <is>
          <t>ACT-041</t>
        </is>
      </c>
      <c r="B46" s="50" t="n">
        <v>46493</v>
      </c>
      <c r="C46" s="27" t="inlineStr">
        <is>
          <t>Meeting</t>
        </is>
      </c>
      <c r="D46" s="27" t="inlineStr">
        <is>
          <t>Provide the agreement timeline and term sheet status to State DOT</t>
        </is>
      </c>
      <c r="E46" s="49" t="inlineStr">
        <is>
          <t>OBJ-3</t>
        </is>
      </c>
      <c r="F46" s="49" t="inlineStr">
        <is>
          <t>REL-05</t>
        </is>
      </c>
      <c r="G46" s="49" t="inlineStr">
        <is>
          <t>ADM-02</t>
        </is>
      </c>
      <c r="H46" s="49" t="inlineStr">
        <is>
          <t>Samuel Ortega</t>
        </is>
      </c>
      <c r="I46" s="49" t="inlineStr">
        <is>
          <t>Planned</t>
        </is>
      </c>
      <c r="J46" s="27" t="n"/>
      <c r="K46" s="27" t="inlineStr">
        <is>
          <t>Request formal match request template.</t>
        </is>
      </c>
      <c r="L46" s="55" t="str">
        <f>IF(tblActions[[#This Row],[Date]]="","","Q"&amp;(INT(MOD(MONTH(tblActions[[#This Row],[Date]])-StartMonth,12)/3)+1))</f>
        <v>Q2</v>
      </c>
      <c r="M46" s="53" t="str">
        <f>IF(tblActions[[#This Row],[ID]]="","",IF(tblActions[[#This Row],[Status]]="Complete","Done",IF(OR(tblActions[[#This Row],[Status]]="Deferred",tblActions[[#This Row],[Status]]="Cancelled"),"Not Pursued",IF(tblActions[[#This Row],[Date]]="","No Date",IF(tblActions[[#This Row],[Date]]&lt;AsOf,"Overdue",IF(tblActions[[#This Row],[Date]]-AsOf&lt;=7,"Due Within 7 Days","Scheduled"))))))</f>
        <v>Scheduled</v>
      </c>
      <c r="N46" s="51" t="str">
        <f>IF(tblActions[[#This Row],[Timing Flag]]="Overdue",AsOf-tblActions[[#This Row],[Date]],"")</f>
        <v/>
      </c>
    </row>
    <row r="47">
      <c r="A47" s="49" t="inlineStr">
        <is>
          <t>ACT-042</t>
        </is>
      </c>
      <c r="B47" s="50" t="n">
        <v>46497</v>
      </c>
      <c r="C47" s="27" t="inlineStr">
        <is>
          <t>Meeting</t>
        </is>
      </c>
      <c r="D47" s="27" t="inlineStr">
        <is>
          <t>Meet Harlan County's administrator to coordinate on delegation requests</t>
        </is>
      </c>
      <c r="E47" s="49" t="inlineStr">
        <is>
          <t>OBJ-3</t>
        </is>
      </c>
      <c r="F47" s="49" t="inlineStr">
        <is>
          <t>REL-11</t>
        </is>
      </c>
      <c r="G47" s="49" t="inlineStr">
        <is>
          <t>ADM-01</t>
        </is>
      </c>
      <c r="H47" s="49" t="inlineStr">
        <is>
          <t>Alicia Brandt</t>
        </is>
      </c>
      <c r="I47" s="49" t="inlineStr">
        <is>
          <t>Planned</t>
        </is>
      </c>
      <c r="J47" s="27" t="n"/>
      <c r="K47" s="27" t="inlineStr">
        <is>
          <t>Agree a joint approach to the delegation.</t>
        </is>
      </c>
      <c r="L47" s="55" t="str">
        <f>IF(tblActions[[#This Row],[Date]]="","","Q"&amp;(INT(MOD(MONTH(tblActions[[#This Row],[Date]])-StartMonth,12)/3)+1))</f>
        <v>Q2</v>
      </c>
      <c r="M47" s="53" t="str">
        <f>IF(tblActions[[#This Row],[ID]]="","",IF(tblActions[[#This Row],[Status]]="Complete","Done",IF(OR(tblActions[[#This Row],[Status]]="Deferred",tblActions[[#This Row],[Status]]="Cancelled"),"Not Pursued",IF(tblActions[[#This Row],[Date]]="","No Date",IF(tblActions[[#This Row],[Date]]&lt;AsOf,"Overdue",IF(tblActions[[#This Row],[Date]]-AsOf&lt;=7,"Due Within 7 Days","Scheduled"))))))</f>
        <v>Scheduled</v>
      </c>
      <c r="N47" s="51" t="str">
        <f>IF(tblActions[[#This Row],[Timing Flag]]="Overdue",AsOf-tblActions[[#This Row],[Date]],"")</f>
        <v/>
      </c>
    </row>
    <row r="48">
      <c r="A48" s="49" t="inlineStr">
        <is>
          <t>ACT-043</t>
        </is>
      </c>
      <c r="B48" s="50" t="n">
        <v>46499</v>
      </c>
      <c r="C48" s="27" t="inlineStr">
        <is>
          <t>Briefing</t>
        </is>
      </c>
      <c r="D48" s="27" t="inlineStr">
        <is>
          <t>Brief the Governor's policy staff on SB 214 and request a signal on signature</t>
        </is>
      </c>
      <c r="E48" s="49" t="inlineStr">
        <is>
          <t>OBJ-1</t>
        </is>
      </c>
      <c r="F48" s="49" t="inlineStr">
        <is>
          <t>REL-13</t>
        </is>
      </c>
      <c r="G48" s="49" t="inlineStr">
        <is>
          <t>ADM-06</t>
        </is>
      </c>
      <c r="H48" s="49" t="inlineStr">
        <is>
          <t>Elena Marsh</t>
        </is>
      </c>
      <c r="I48" s="49" t="inlineStr">
        <is>
          <t>Planned</t>
        </is>
      </c>
      <c r="J48" s="27" t="n"/>
      <c r="K48" s="27" t="inlineStr">
        <is>
          <t>Report to County Executive.</t>
        </is>
      </c>
      <c r="L48" s="55" t="str">
        <f>IF(tblActions[[#This Row],[Date]]="","","Q"&amp;(INT(MOD(MONTH(tblActions[[#This Row],[Date]])-StartMonth,12)/3)+1))</f>
        <v>Q2</v>
      </c>
      <c r="M48" s="53" t="str">
        <f>IF(tblActions[[#This Row],[ID]]="","",IF(tblActions[[#This Row],[Status]]="Complete","Done",IF(OR(tblActions[[#This Row],[Status]]="Deferred",tblActions[[#This Row],[Status]]="Cancelled"),"Not Pursued",IF(tblActions[[#This Row],[Date]]="","No Date",IF(tblActions[[#This Row],[Date]]&lt;AsOf,"Overdue",IF(tblActions[[#This Row],[Date]]-AsOf&lt;=7,"Due Within 7 Days","Scheduled"))))))</f>
        <v>Scheduled</v>
      </c>
      <c r="N48" s="51" t="str">
        <f>IF(tblActions[[#This Row],[Timing Flag]]="Overdue",AsOf-tblActions[[#This Row],[Date]],"")</f>
        <v/>
      </c>
    </row>
    <row r="49">
      <c r="A49" s="49" t="inlineStr">
        <is>
          <t>ACT-044</t>
        </is>
      </c>
      <c r="B49" s="50" t="n">
        <v>46504</v>
      </c>
      <c r="C49" s="27" t="inlineStr">
        <is>
          <t>Briefing</t>
        </is>
      </c>
      <c r="D49" s="27" t="inlineStr">
        <is>
          <t>Brief the Board on session outcomes and next steps</t>
        </is>
      </c>
      <c r="E49" s="49" t="inlineStr">
        <is>
          <t>OBJ-1</t>
        </is>
      </c>
      <c r="F49" s="49" t="inlineStr">
        <is>
          <t>REL-02</t>
        </is>
      </c>
      <c r="G49" s="49" t="inlineStr">
        <is>
          <t>LEG-01</t>
        </is>
      </c>
      <c r="H49" s="49" t="inlineStr">
        <is>
          <t>Elena Marsh</t>
        </is>
      </c>
      <c r="I49" s="49" t="inlineStr">
        <is>
          <t>Planned</t>
        </is>
      </c>
      <c r="J49" s="27" t="n"/>
      <c r="K49" s="27" t="inlineStr">
        <is>
          <t>Update the plan for results.</t>
        </is>
      </c>
      <c r="L49" s="55" t="str">
        <f>IF(tblActions[[#This Row],[Date]]="","","Q"&amp;(INT(MOD(MONTH(tblActions[[#This Row],[Date]])-StartMonth,12)/3)+1))</f>
        <v>Q2</v>
      </c>
      <c r="M49" s="53" t="str">
        <f>IF(tblActions[[#This Row],[ID]]="","",IF(tblActions[[#This Row],[Status]]="Complete","Done",IF(OR(tblActions[[#This Row],[Status]]="Deferred",tblActions[[#This Row],[Status]]="Cancelled"),"Not Pursued",IF(tblActions[[#This Row],[Date]]="","No Date",IF(tblActions[[#This Row],[Date]]&lt;AsOf,"Overdue",IF(tblActions[[#This Row],[Date]]-AsOf&lt;=7,"Due Within 7 Days","Scheduled"))))))</f>
        <v>Scheduled</v>
      </c>
      <c r="N49" s="51" t="str">
        <f>IF(tblActions[[#This Row],[Timing Flag]]="Overdue",AsOf-tblActions[[#This Row],[Date]],"")</f>
        <v/>
      </c>
    </row>
    <row r="50">
      <c r="A50" s="49" t="inlineStr">
        <is>
          <t>ACT-045</t>
        </is>
      </c>
      <c r="B50" s="50" t="n">
        <v>46505</v>
      </c>
      <c r="C50" s="27" t="inlineStr">
        <is>
          <t>Site Visit</t>
        </is>
      </c>
      <c r="D50" s="27" t="inlineStr">
        <is>
          <t>Rescheduled joint site visit with Riverton, the Transit Authority, and State DOT</t>
        </is>
      </c>
      <c r="E50" s="49" t="inlineStr">
        <is>
          <t>OBJ-4</t>
        </is>
      </c>
      <c r="F50" s="49" t="inlineStr">
        <is>
          <t>REL-07</t>
        </is>
      </c>
      <c r="G50" s="49" t="inlineStr">
        <is>
          <t>ADM-04</t>
        </is>
      </c>
      <c r="H50" s="49" t="inlineStr">
        <is>
          <t>Alicia Brandt</t>
        </is>
      </c>
      <c r="I50" s="49" t="inlineStr">
        <is>
          <t>Planned</t>
        </is>
      </c>
      <c r="J50" s="27" t="n"/>
      <c r="K50" s="27" t="inlineStr">
        <is>
          <t>Fold design basis into the term sheet.</t>
        </is>
      </c>
      <c r="L50" s="55" t="str">
        <f>IF(tblActions[[#This Row],[Date]]="","","Q"&amp;(INT(MOD(MONTH(tblActions[[#This Row],[Date]])-StartMonth,12)/3)+1))</f>
        <v>Q2</v>
      </c>
      <c r="M50" s="53" t="str">
        <f>IF(tblActions[[#This Row],[ID]]="","",IF(tblActions[[#This Row],[Status]]="Complete","Done",IF(OR(tblActions[[#This Row],[Status]]="Deferred",tblActions[[#This Row],[Status]]="Cancelled"),"Not Pursued",IF(tblActions[[#This Row],[Date]]="","No Date",IF(tblActions[[#This Row],[Date]]&lt;AsOf,"Overdue",IF(tblActions[[#This Row],[Date]]-AsOf&lt;=7,"Due Within 7 Days","Scheduled"))))))</f>
        <v>Scheduled</v>
      </c>
      <c r="N50" s="51" t="str">
        <f>IF(tblActions[[#This Row],[Timing Flag]]="Overdue",AsOf-tblActions[[#This Row],[Date]],"")</f>
        <v/>
      </c>
    </row>
    <row r="51">
      <c r="A51" s="49" t="inlineStr">
        <is>
          <t>ACT-046</t>
        </is>
      </c>
      <c r="B51" s="50" t="n">
        <v>46511</v>
      </c>
      <c r="C51" s="27" t="inlineStr">
        <is>
          <t>Written Submission</t>
        </is>
      </c>
      <c r="D51" s="27" t="inlineStr">
        <is>
          <t>File comments on the state stormwater general permit revision</t>
        </is>
      </c>
      <c r="E51" s="49" t="inlineStr">
        <is>
          <t>OBJ-2</t>
        </is>
      </c>
      <c r="F51" s="49" t="inlineStr">
        <is>
          <t>REL-15</t>
        </is>
      </c>
      <c r="G51" s="49" t="inlineStr">
        <is>
          <t>ADM-05</t>
        </is>
      </c>
      <c r="H51" s="49" t="inlineStr">
        <is>
          <t>Jordan Pike</t>
        </is>
      </c>
      <c r="I51" s="49" t="inlineStr">
        <is>
          <t>Planned</t>
        </is>
      </c>
      <c r="J51" s="27" t="n"/>
      <c r="K51" s="27" t="inlineStr">
        <is>
          <t>Confirm receipt with the agency.</t>
        </is>
      </c>
      <c r="L51" s="55" t="str">
        <f>IF(tblActions[[#This Row],[Date]]="","","Q"&amp;(INT(MOD(MONTH(tblActions[[#This Row],[Date]])-StartMonth,12)/3)+1))</f>
        <v>Q2</v>
      </c>
      <c r="M51" s="53" t="str">
        <f>IF(tblActions[[#This Row],[ID]]="","",IF(tblActions[[#This Row],[Status]]="Complete","Done",IF(OR(tblActions[[#This Row],[Status]]="Deferred",tblActions[[#This Row],[Status]]="Cancelled"),"Not Pursued",IF(tblActions[[#This Row],[Date]]="","No Date",IF(tblActions[[#This Row],[Date]]&lt;AsOf,"Overdue",IF(tblActions[[#This Row],[Date]]-AsOf&lt;=7,"Due Within 7 Days","Scheduled"))))))</f>
        <v>Scheduled</v>
      </c>
      <c r="N51" s="51" t="str">
        <f>IF(tblActions[[#This Row],[Timing Flag]]="Overdue",AsOf-tblActions[[#This Row],[Date]],"")</f>
        <v/>
      </c>
    </row>
    <row r="52">
      <c r="A52" s="49" t="inlineStr">
        <is>
          <t>ACT-047</t>
        </is>
      </c>
      <c r="B52" s="50" t="n">
        <v>46519</v>
      </c>
      <c r="C52" s="27" t="inlineStr">
        <is>
          <t>Meeting</t>
        </is>
      </c>
      <c r="D52" s="27" t="inlineStr">
        <is>
          <t>Meet congressional district offices to request letters of support</t>
        </is>
      </c>
      <c r="E52" s="49" t="inlineStr">
        <is>
          <t>OBJ-3</t>
        </is>
      </c>
      <c r="F52" s="49" t="inlineStr">
        <is>
          <t>REL-10</t>
        </is>
      </c>
      <c r="G52" s="49" t="inlineStr">
        <is>
          <t>ADM-01</t>
        </is>
      </c>
      <c r="H52" s="49" t="inlineStr">
        <is>
          <t>Samuel Ortega</t>
        </is>
      </c>
      <c r="I52" s="49" t="inlineStr">
        <is>
          <t>Planned</t>
        </is>
      </c>
      <c r="J52" s="27" t="n"/>
      <c r="K52" s="27" t="inlineStr">
        <is>
          <t>Provide a one-page request packet.</t>
        </is>
      </c>
      <c r="L52" s="55" t="str">
        <f>IF(tblActions[[#This Row],[Date]]="","","Q"&amp;(INT(MOD(MONTH(tblActions[[#This Row],[Date]])-StartMonth,12)/3)+1))</f>
        <v>Q2</v>
      </c>
      <c r="M52" s="53" t="str">
        <f>IF(tblActions[[#This Row],[ID]]="","",IF(tblActions[[#This Row],[Status]]="Complete","Done",IF(OR(tblActions[[#This Row],[Status]]="Deferred",tblActions[[#This Row],[Status]]="Cancelled"),"Not Pursued",IF(tblActions[[#This Row],[Date]]="","No Date",IF(tblActions[[#This Row],[Date]]&lt;AsOf,"Overdue",IF(tblActions[[#This Row],[Date]]-AsOf&lt;=7,"Due Within 7 Days","Scheduled"))))))</f>
        <v>Scheduled</v>
      </c>
      <c r="N52" s="51" t="str">
        <f>IF(tblActions[[#This Row],[Timing Flag]]="Overdue",AsOf-tblActions[[#This Row],[Date]],"")</f>
        <v/>
      </c>
    </row>
    <row r="53">
      <c r="A53" s="49" t="inlineStr">
        <is>
          <t>ACT-048</t>
        </is>
      </c>
      <c r="B53" s="50" t="n">
        <v>46528</v>
      </c>
      <c r="C53" s="27" t="inlineStr">
        <is>
          <t>Meeting</t>
        </is>
      </c>
      <c r="D53" s="27" t="inlineStr">
        <is>
          <t>First leader-level meeting with the Three Fords Tribal Nation</t>
        </is>
      </c>
      <c r="E53" s="49" t="inlineStr">
        <is>
          <t>OBJ-5</t>
        </is>
      </c>
      <c r="F53" s="49" t="inlineStr">
        <is>
          <t>REL-08</t>
        </is>
      </c>
      <c r="G53" s="49" t="inlineStr">
        <is>
          <t>ADM-03</t>
        </is>
      </c>
      <c r="H53" s="49" t="inlineStr">
        <is>
          <t>Elena Marsh</t>
        </is>
      </c>
      <c r="I53" s="49" t="inlineStr">
        <is>
          <t>Planned</t>
        </is>
      </c>
      <c r="J53" s="27" t="n"/>
      <c r="K53" s="27" t="inlineStr">
        <is>
          <t>Draft coordination protocol.</t>
        </is>
      </c>
      <c r="L53" s="55" t="str">
        <f>IF(tblActions[[#This Row],[Date]]="","","Q"&amp;(INT(MOD(MONTH(tblActions[[#This Row],[Date]])-StartMonth,12)/3)+1))</f>
        <v>Q2</v>
      </c>
      <c r="M53" s="53" t="str">
        <f>IF(tblActions[[#This Row],[ID]]="","",IF(tblActions[[#This Row],[Status]]="Complete","Done",IF(OR(tblActions[[#This Row],[Status]]="Deferred",tblActions[[#This Row],[Status]]="Cancelled"),"Not Pursued",IF(tblActions[[#This Row],[Date]]="","No Date",IF(tblActions[[#This Row],[Date]]&lt;AsOf,"Overdue",IF(tblActions[[#This Row],[Date]]-AsOf&lt;=7,"Due Within 7 Days","Scheduled"))))))</f>
        <v>Scheduled</v>
      </c>
      <c r="N53" s="51" t="str">
        <f>IF(tblActions[[#This Row],[Timing Flag]]="Overdue",AsOf-tblActions[[#This Row],[Date]],"")</f>
        <v/>
      </c>
    </row>
    <row r="54">
      <c r="A54" s="49" t="inlineStr">
        <is>
          <t>ACT-049</t>
        </is>
      </c>
      <c r="B54" s="50" t="n">
        <v>46546</v>
      </c>
      <c r="C54" s="27" t="inlineStr">
        <is>
          <t>Internal Clearance</t>
        </is>
      </c>
      <c r="D54" s="27" t="inlineStr">
        <is>
          <t>Board decision briefing on the nonfederal match source</t>
        </is>
      </c>
      <c r="E54" s="49" t="inlineStr">
        <is>
          <t>OBJ-3</t>
        </is>
      </c>
      <c r="F54" s="49" t="inlineStr">
        <is>
          <t>REL-02</t>
        </is>
      </c>
      <c r="G54" s="49" t="inlineStr">
        <is>
          <t>ADM-02</t>
        </is>
      </c>
      <c r="H54" s="49" t="inlineStr">
        <is>
          <t>Lena Park</t>
        </is>
      </c>
      <c r="I54" s="49" t="inlineStr">
        <is>
          <t>Planned</t>
        </is>
      </c>
      <c r="J54" s="27" t="n"/>
      <c r="K54" s="27" t="inlineStr">
        <is>
          <t>Record the decision in the plan.</t>
        </is>
      </c>
      <c r="L54" s="55" t="str">
        <f>IF(tblActions[[#This Row],[Date]]="","","Q"&amp;(INT(MOD(MONTH(tblActions[[#This Row],[Date]])-StartMonth,12)/3)+1))</f>
        <v>Q2</v>
      </c>
      <c r="M54" s="53" t="str">
        <f>IF(tblActions[[#This Row],[ID]]="","",IF(tblActions[[#This Row],[Status]]="Complete","Done",IF(OR(tblActions[[#This Row],[Status]]="Deferred",tblActions[[#This Row],[Status]]="Cancelled"),"Not Pursued",IF(tblActions[[#This Row],[Date]]="","No Date",IF(tblActions[[#This Row],[Date]]&lt;AsOf,"Overdue",IF(tblActions[[#This Row],[Date]]-AsOf&lt;=7,"Due Within 7 Days","Scheduled"))))))</f>
        <v>Scheduled</v>
      </c>
      <c r="N54" s="51" t="str">
        <f>IF(tblActions[[#This Row],[Timing Flag]]="Overdue",AsOf-tblActions[[#This Row],[Date]],"")</f>
        <v/>
      </c>
    </row>
    <row r="55">
      <c r="A55" s="49" t="n"/>
      <c r="B55" s="50" t="n"/>
      <c r="C55" s="27" t="n"/>
      <c r="D55" s="27" t="n"/>
      <c r="E55" s="49" t="n"/>
      <c r="F55" s="49" t="n"/>
      <c r="G55" s="49" t="n"/>
      <c r="H55" s="49" t="n"/>
      <c r="I55" s="49" t="n"/>
      <c r="J55" s="27" t="n"/>
      <c r="K55" s="27" t="n"/>
      <c r="L55" s="55" t="str">
        <f>IF(tblActions[[#This Row],[Date]]="","","Q"&amp;(INT(MOD(MONTH(tblActions[[#This Row],[Date]])-StartMonth,12)/3)+1))</f>
        <v/>
      </c>
      <c r="M55" s="53"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55" s="51" t="str">
        <f>IF(tblActions[[#This Row],[Timing Flag]]="Overdue",AsOf-tblActions[[#This Row],[Date]],"")</f>
        <v/>
      </c>
    </row>
    <row r="56">
      <c r="A56" s="49" t="n"/>
      <c r="B56" s="50" t="n"/>
      <c r="C56" s="27" t="n"/>
      <c r="D56" s="27" t="n"/>
      <c r="E56" s="49" t="n"/>
      <c r="F56" s="49" t="n"/>
      <c r="G56" s="49" t="n"/>
      <c r="H56" s="49" t="n"/>
      <c r="I56" s="49" t="n"/>
      <c r="J56" s="27" t="n"/>
      <c r="K56" s="27" t="n"/>
      <c r="L56" s="55" t="str">
        <f>IF(tblActions[[#This Row],[Date]]="","","Q"&amp;(INT(MOD(MONTH(tblActions[[#This Row],[Date]])-StartMonth,12)/3)+1))</f>
        <v/>
      </c>
      <c r="M56" s="53"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56" s="51" t="str">
        <f>IF(tblActions[[#This Row],[Timing Flag]]="Overdue",AsOf-tblActions[[#This Row],[Date]],"")</f>
        <v/>
      </c>
    </row>
    <row r="57">
      <c r="A57" s="49" t="n"/>
      <c r="B57" s="50" t="n"/>
      <c r="C57" s="27" t="n"/>
      <c r="D57" s="27" t="n"/>
      <c r="E57" s="49" t="n"/>
      <c r="F57" s="49" t="n"/>
      <c r="G57" s="49" t="n"/>
      <c r="H57" s="49" t="n"/>
      <c r="I57" s="49" t="n"/>
      <c r="J57" s="27" t="n"/>
      <c r="K57" s="27" t="n"/>
      <c r="L57" s="55" t="str">
        <f>IF(tblActions[[#This Row],[Date]]="","","Q"&amp;(INT(MOD(MONTH(tblActions[[#This Row],[Date]])-StartMonth,12)/3)+1))</f>
        <v/>
      </c>
      <c r="M57" s="53"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57" s="51" t="str">
        <f>IF(tblActions[[#This Row],[Timing Flag]]="Overdue",AsOf-tblActions[[#This Row],[Date]],"")</f>
        <v/>
      </c>
    </row>
    <row r="58">
      <c r="A58" s="49" t="n"/>
      <c r="B58" s="50" t="n"/>
      <c r="C58" s="27" t="n"/>
      <c r="D58" s="27" t="n"/>
      <c r="E58" s="49" t="n"/>
      <c r="F58" s="49" t="n"/>
      <c r="G58" s="49" t="n"/>
      <c r="H58" s="49" t="n"/>
      <c r="I58" s="49" t="n"/>
      <c r="J58" s="27" t="n"/>
      <c r="K58" s="27" t="n"/>
      <c r="L58" s="55" t="str">
        <f>IF(tblActions[[#This Row],[Date]]="","","Q"&amp;(INT(MOD(MONTH(tblActions[[#This Row],[Date]])-StartMonth,12)/3)+1))</f>
        <v/>
      </c>
      <c r="M58" s="53"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58" s="51" t="str">
        <f>IF(tblActions[[#This Row],[Timing Flag]]="Overdue",AsOf-tblActions[[#This Row],[Date]],"")</f>
        <v/>
      </c>
    </row>
    <row r="59">
      <c r="A59" s="49" t="n"/>
      <c r="B59" s="50" t="n"/>
      <c r="C59" s="27" t="n"/>
      <c r="D59" s="27" t="n"/>
      <c r="E59" s="49" t="n"/>
      <c r="F59" s="49" t="n"/>
      <c r="G59" s="49" t="n"/>
      <c r="H59" s="49" t="n"/>
      <c r="I59" s="49" t="n"/>
      <c r="J59" s="27" t="n"/>
      <c r="K59" s="27" t="n"/>
      <c r="L59" s="55" t="str">
        <f>IF(tblActions[[#This Row],[Date]]="","","Q"&amp;(INT(MOD(MONTH(tblActions[[#This Row],[Date]])-StartMonth,12)/3)+1))</f>
        <v/>
      </c>
      <c r="M59" s="53"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59" s="51" t="str">
        <f>IF(tblActions[[#This Row],[Timing Flag]]="Overdue",AsOf-tblActions[[#This Row],[Date]],"")</f>
        <v/>
      </c>
    </row>
    <row r="60">
      <c r="A60" s="49" t="n"/>
      <c r="B60" s="50" t="n"/>
      <c r="C60" s="27" t="n"/>
      <c r="D60" s="27" t="n"/>
      <c r="E60" s="49" t="n"/>
      <c r="F60" s="49" t="n"/>
      <c r="G60" s="49" t="n"/>
      <c r="H60" s="49" t="n"/>
      <c r="I60" s="49" t="n"/>
      <c r="J60" s="27" t="n"/>
      <c r="K60" s="27" t="n"/>
      <c r="L60" s="55" t="str">
        <f>IF(tblActions[[#This Row],[Date]]="","","Q"&amp;(INT(MOD(MONTH(tblActions[[#This Row],[Date]])-StartMonth,12)/3)+1))</f>
        <v/>
      </c>
      <c r="M60" s="53"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60" s="51" t="str">
        <f>IF(tblActions[[#This Row],[Timing Flag]]="Overdue",AsOf-tblActions[[#This Row],[Date]],"")</f>
        <v/>
      </c>
    </row>
    <row r="61">
      <c r="A61" s="49" t="n"/>
      <c r="B61" s="50" t="n"/>
      <c r="C61" s="27" t="n"/>
      <c r="D61" s="27" t="n"/>
      <c r="E61" s="49" t="n"/>
      <c r="F61" s="49" t="n"/>
      <c r="G61" s="49" t="n"/>
      <c r="H61" s="49" t="n"/>
      <c r="I61" s="49" t="n"/>
      <c r="J61" s="27" t="n"/>
      <c r="K61" s="27" t="n"/>
      <c r="L61" s="55" t="str">
        <f>IF(tblActions[[#This Row],[Date]]="","","Q"&amp;(INT(MOD(MONTH(tblActions[[#This Row],[Date]])-StartMonth,12)/3)+1))</f>
        <v/>
      </c>
      <c r="M61" s="53"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61" s="51" t="str">
        <f>IF(tblActions[[#This Row],[Timing Flag]]="Overdue",AsOf-tblActions[[#This Row],[Date]],"")</f>
        <v/>
      </c>
    </row>
    <row r="62">
      <c r="A62" s="49" t="n"/>
      <c r="B62" s="50" t="n"/>
      <c r="C62" s="27" t="n"/>
      <c r="D62" s="27" t="n"/>
      <c r="E62" s="49" t="n"/>
      <c r="F62" s="49" t="n"/>
      <c r="G62" s="49" t="n"/>
      <c r="H62" s="49" t="n"/>
      <c r="I62" s="49" t="n"/>
      <c r="J62" s="27" t="n"/>
      <c r="K62" s="27" t="n"/>
      <c r="L62" s="55" t="str">
        <f>IF(tblActions[[#This Row],[Date]]="","","Q"&amp;(INT(MOD(MONTH(tblActions[[#This Row],[Date]])-StartMonth,12)/3)+1))</f>
        <v/>
      </c>
      <c r="M62" s="53"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62" s="51" t="str">
        <f>IF(tblActions[[#This Row],[Timing Flag]]="Overdue",AsOf-tblActions[[#This Row],[Date]],"")</f>
        <v/>
      </c>
    </row>
    <row r="63">
      <c r="A63" s="49" t="n"/>
      <c r="B63" s="50" t="n"/>
      <c r="C63" s="27" t="n"/>
      <c r="D63" s="27" t="n"/>
      <c r="E63" s="49" t="n"/>
      <c r="F63" s="49" t="n"/>
      <c r="G63" s="49" t="n"/>
      <c r="H63" s="49" t="n"/>
      <c r="I63" s="49" t="n"/>
      <c r="J63" s="27" t="n"/>
      <c r="K63" s="27" t="n"/>
      <c r="L63" s="55" t="str">
        <f>IF(tblActions[[#This Row],[Date]]="","","Q"&amp;(INT(MOD(MONTH(tblActions[[#This Row],[Date]])-StartMonth,12)/3)+1))</f>
        <v/>
      </c>
      <c r="M63" s="53"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63" s="51" t="str">
        <f>IF(tblActions[[#This Row],[Timing Flag]]="Overdue",AsOf-tblActions[[#This Row],[Date]],"")</f>
        <v/>
      </c>
    </row>
    <row r="64">
      <c r="A64" s="49" t="n"/>
      <c r="B64" s="50" t="n"/>
      <c r="C64" s="27" t="n"/>
      <c r="D64" s="27" t="n"/>
      <c r="E64" s="49" t="n"/>
      <c r="F64" s="49" t="n"/>
      <c r="G64" s="49" t="n"/>
      <c r="H64" s="49" t="n"/>
      <c r="I64" s="49" t="n"/>
      <c r="J64" s="27" t="n"/>
      <c r="K64" s="27" t="n"/>
      <c r="L64" s="55" t="str">
        <f>IF(tblActions[[#This Row],[Date]]="","","Q"&amp;(INT(MOD(MONTH(tblActions[[#This Row],[Date]])-StartMonth,12)/3)+1))</f>
        <v/>
      </c>
      <c r="M64" s="53"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64" s="51" t="str">
        <f>IF(tblActions[[#This Row],[Timing Flag]]="Overdue",AsOf-tblActions[[#This Row],[Date]],"")</f>
        <v/>
      </c>
    </row>
    <row r="65">
      <c r="A65" s="49" t="n"/>
      <c r="B65" s="50" t="n"/>
      <c r="C65" s="27" t="n"/>
      <c r="D65" s="27" t="n"/>
      <c r="E65" s="49" t="n"/>
      <c r="F65" s="49" t="n"/>
      <c r="G65" s="49" t="n"/>
      <c r="H65" s="49" t="n"/>
      <c r="I65" s="49" t="n"/>
      <c r="J65" s="27" t="n"/>
      <c r="K65" s="27" t="n"/>
      <c r="L65" s="55" t="str">
        <f>IF(tblActions[[#This Row],[Date]]="","","Q"&amp;(INT(MOD(MONTH(tblActions[[#This Row],[Date]])-StartMonth,12)/3)+1))</f>
        <v/>
      </c>
      <c r="M65" s="53"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65" s="51" t="str">
        <f>IF(tblActions[[#This Row],[Timing Flag]]="Overdue",AsOf-tblActions[[#This Row],[Date]],"")</f>
        <v/>
      </c>
    </row>
    <row r="66">
      <c r="A66" s="49" t="n"/>
      <c r="B66" s="50" t="n"/>
      <c r="C66" s="27" t="n"/>
      <c r="D66" s="27" t="n"/>
      <c r="E66" s="49" t="n"/>
      <c r="F66" s="49" t="n"/>
      <c r="G66" s="49" t="n"/>
      <c r="H66" s="49" t="n"/>
      <c r="I66" s="49" t="n"/>
      <c r="J66" s="27" t="n"/>
      <c r="K66" s="27" t="n"/>
      <c r="L66" s="55" t="str">
        <f>IF(tblActions[[#This Row],[Date]]="","","Q"&amp;(INT(MOD(MONTH(tblActions[[#This Row],[Date]])-StartMonth,12)/3)+1))</f>
        <v/>
      </c>
      <c r="M66" s="53"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66" s="51" t="str">
        <f>IF(tblActions[[#This Row],[Timing Flag]]="Overdue",AsOf-tblActions[[#This Row],[Date]],"")</f>
        <v/>
      </c>
    </row>
    <row r="67">
      <c r="A67" s="49" t="n"/>
      <c r="B67" s="50" t="n"/>
      <c r="C67" s="27" t="n"/>
      <c r="D67" s="27" t="n"/>
      <c r="E67" s="49" t="n"/>
      <c r="F67" s="49" t="n"/>
      <c r="G67" s="49" t="n"/>
      <c r="H67" s="49" t="n"/>
      <c r="I67" s="49" t="n"/>
      <c r="J67" s="27" t="n"/>
      <c r="K67" s="27" t="n"/>
      <c r="L67" s="55" t="str">
        <f>IF(tblActions[[#This Row],[Date]]="","","Q"&amp;(INT(MOD(MONTH(tblActions[[#This Row],[Date]])-StartMonth,12)/3)+1))</f>
        <v/>
      </c>
      <c r="M67" s="53"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67" s="51" t="str">
        <f>IF(tblActions[[#This Row],[Timing Flag]]="Overdue",AsOf-tblActions[[#This Row],[Date]],"")</f>
        <v/>
      </c>
    </row>
    <row r="68">
      <c r="A68" s="49" t="n"/>
      <c r="B68" s="50" t="n"/>
      <c r="C68" s="27" t="n"/>
      <c r="D68" s="27" t="n"/>
      <c r="E68" s="49" t="n"/>
      <c r="F68" s="49" t="n"/>
      <c r="G68" s="49" t="n"/>
      <c r="H68" s="49" t="n"/>
      <c r="I68" s="49" t="n"/>
      <c r="J68" s="27" t="n"/>
      <c r="K68" s="27" t="n"/>
      <c r="L68" s="55" t="str">
        <f>IF(tblActions[[#This Row],[Date]]="","","Q"&amp;(INT(MOD(MONTH(tblActions[[#This Row],[Date]])-StartMonth,12)/3)+1))</f>
        <v/>
      </c>
      <c r="M68" s="53"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68" s="51" t="str">
        <f>IF(tblActions[[#This Row],[Timing Flag]]="Overdue",AsOf-tblActions[[#This Row],[Date]],"")</f>
        <v/>
      </c>
    </row>
    <row r="69">
      <c r="A69" s="49" t="n"/>
      <c r="B69" s="50" t="n"/>
      <c r="C69" s="27" t="n"/>
      <c r="D69" s="27" t="n"/>
      <c r="E69" s="49" t="n"/>
      <c r="F69" s="49" t="n"/>
      <c r="G69" s="49" t="n"/>
      <c r="H69" s="49" t="n"/>
      <c r="I69" s="49" t="n"/>
      <c r="J69" s="27" t="n"/>
      <c r="K69" s="27" t="n"/>
      <c r="L69" s="55" t="str">
        <f>IF(tblActions[[#This Row],[Date]]="","","Q"&amp;(INT(MOD(MONTH(tblActions[[#This Row],[Date]])-StartMonth,12)/3)+1))</f>
        <v/>
      </c>
      <c r="M69" s="53" t="str">
        <f>IF(tblActions[[#This Row],[ID]]="","",IF(tblActions[[#This Row],[Status]]="Complete","Done",IF(OR(tblActions[[#This Row],[Status]]="Deferred",tblActions[[#This Row],[Status]]="Cancelled"),"Not Pursued",IF(tblActions[[#This Row],[Date]]="","No Date",IF(tblActions[[#This Row],[Date]]&lt;AsOf,"Overdue",IF(tblActions[[#This Row],[Date]]-AsOf&lt;=7,"Due Within 7 Days","Scheduled"))))))</f>
        <v/>
      </c>
      <c r="N69" s="51" t="str">
        <f>IF(tblActions[[#This Row],[Timing Flag]]="Overdue",AsOf-tblActions[[#This Row],[Date]],"")</f>
        <v/>
      </c>
    </row>
  </sheetData>
  <conditionalFormatting sqref="M6:M69">
    <cfRule type="cellIs" priority="1" operator="equal" dxfId="4">
      <formula>"Overdue"</formula>
    </cfRule>
    <cfRule type="cellIs" priority="2" operator="equal" dxfId="3">
      <formula>"Due Within 7 Days"</formula>
    </cfRule>
    <cfRule type="cellIs" priority="3" operator="equal" dxfId="1">
      <formula>"Done"</formula>
    </cfRule>
  </conditionalFormatting>
  <conditionalFormatting sqref="I6:I69">
    <cfRule type="cellIs" priority="4" operator="equal" dxfId="2">
      <formula>"Complete"</formula>
    </cfRule>
    <cfRule type="cellIs" priority="5" operator="equal" dxfId="6">
      <formula>"Deferred"</formula>
    </cfRule>
    <cfRule type="cellIs" priority="6" operator="equal" dxfId="6">
      <formula>"Cancelled"</formula>
    </cfRule>
  </conditionalFormatting>
  <dataValidations count="7">
    <dataValidation sqref="B6:B69" showDropDown="0" showInputMessage="0" showErrorMessage="1" allowBlank="1" errorTitle="Enter a date" error="Enter a valid date, for example 4/15/2027." type="date" errorStyle="stop" operator="greaterThanOrEqual">
      <formula1>36526</formula1>
    </dataValidation>
    <dataValidation sqref="C6:C69" showDropDown="0" showInputMessage="0" showErrorMessage="1" allowBlank="1" errorTitle="Choose from the list" error="Pick a value from the dropdown. Edit the lists on the Lists sheet." type="list" errorStyle="stop">
      <formula1>=lstActionType</formula1>
    </dataValidation>
    <dataValidation sqref="E6:E69" showDropDown="0" showInputMessage="0" showErrorMessage="1" allowBlank="1" errorTitle="Choose from the list" error="Pick a value from the dropdown. Edit the lists on the Lists sheet." type="list" errorStyle="stop">
      <formula1>=rngObjIDs</formula1>
    </dataValidation>
    <dataValidation sqref="F6:F69" showDropDown="0" showInputMessage="0" showErrorMessage="1" allowBlank="1" errorTitle="Choose from the list" error="Pick a value from the dropdown. Edit the lists on the Lists sheet." type="list" errorStyle="stop">
      <formula1>=rngRelIDs</formula1>
    </dataValidation>
    <dataValidation sqref="G6:G69" showDropDown="0" showInputMessage="0" showErrorMessage="1" allowBlank="1" errorTitle="Choose from the list" error="Pick a value from the dropdown. Edit the lists on the Lists sheet." type="list" errorStyle="stop">
      <formula1>=rngPriIDs</formula1>
    </dataValidation>
    <dataValidation sqref="H6:H69" showDropDown="0" showInputMessage="0" showErrorMessage="1" allowBlank="1" errorTitle="Name not on the People list" error="This name is not on the People list on the Lists sheet. Add it there, or continue to keep what you typed." type="list" errorStyle="warning">
      <formula1>=lstPeople</formula1>
    </dataValidation>
    <dataValidation sqref="I6:I69" showDropDown="0" showInputMessage="0" showErrorMessage="1" allowBlank="1" errorTitle="Choose from the list" error="Pick a value from the dropdown. Edit the lists on the Lists sheet." type="list" errorStyle="stop">
      <formula1>=lstActionStatus</formula1>
    </dataValidation>
  </dataValidations>
  <pageMargins left="0.5" right="0.5" top="1" bottom="1" header="0.5" footer="0.5"/>
  <pageSetup orientation="landscape" fitToHeight="0" fitToWidth="1"/>
  <headerFooter>
    <oddHeader/>
    <oddFooter>&amp;L&amp;8 Intergov Association | Strategic Plan Tracker&amp;R&amp;8 &amp;A | Page &amp;P of &amp;N</oddFooter>
    <evenHeader/>
    <evenFooter/>
    <firstHeader/>
    <firstFooter/>
  </headerFooter>
  <tableParts count="1">
    <tablePart xmlns:r="http://schemas.openxmlformats.org/officeDocument/2006/relationships" r:id="rId1"/>
  </tableParts>
</worksheet>
</file>

<file path=xl/worksheets/sheet7.xml><?xml version="1.0" encoding="utf-8"?>
<worksheet xmlns="http://schemas.openxmlformats.org/spreadsheetml/2006/main">
  <sheetPr>
    <tabColor rgb="00192E43"/>
    <outlinePr summaryBelow="1" summaryRight="1"/>
    <pageSetUpPr fitToPage="1"/>
  </sheetPr>
  <dimension ref="A1:S53"/>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9" customWidth="1" min="1" max="1"/>
    <col width="44" customWidth="1" min="2" max="2"/>
    <col width="11" customWidth="1" min="3" max="3"/>
    <col width="18" customWidth="1" min="4" max="4"/>
    <col width="16" customWidth="1" min="5" max="5"/>
    <col width="12" customWidth="1" min="6" max="6"/>
    <col width="12" customWidth="1" min="7" max="7"/>
    <col width="12" customWidth="1" min="8" max="8"/>
    <col width="12" customWidth="1" min="9" max="9"/>
    <col width="11" customWidth="1" min="10" max="10"/>
    <col width="9" customWidth="1" min="11" max="11"/>
    <col width="40" customWidth="1" min="12" max="12"/>
    <col width="12" customWidth="1" min="13" max="13"/>
    <col width="8" customWidth="1" min="14" max="14"/>
    <col width="8" customWidth="1" min="15" max="15"/>
    <col width="9" customWidth="1" min="16" max="16"/>
    <col width="18" customWidth="1" min="17" max="17"/>
    <col width="14" customWidth="1" min="18" max="18"/>
    <col width="8" customWidth="1" min="19" max="19"/>
  </cols>
  <sheetData>
    <row r="1">
      <c r="A1" s="46" t="inlineStr">
        <is>
          <t>Milestones and Deadlines</t>
        </is>
      </c>
    </row>
    <row r="2">
      <c r="A2" s="18" t="inlineStr">
        <is>
          <t>Dated results that show whether each objective will land on time. Record schedule moves in Revised Due Date.</t>
        </is>
      </c>
    </row>
    <row r="3">
      <c r="A3" s="33" t="inlineStr">
        <is>
          <t xml:space="preserve">Navy headers: enter data. Slate headers with gray cells: calculated, do not overwrite. </t>
        </is>
      </c>
    </row>
    <row r="5" ht="34" customHeight="1">
      <c r="A5" s="47" t="inlineStr">
        <is>
          <t>ID</t>
        </is>
      </c>
      <c r="B5" s="47" t="inlineStr">
        <is>
          <t>Milestone</t>
        </is>
      </c>
      <c r="C5" s="47" t="inlineStr">
        <is>
          <t>Objective ID</t>
        </is>
      </c>
      <c r="D5" s="47" t="inlineStr">
        <is>
          <t>Type</t>
        </is>
      </c>
      <c r="E5" s="47" t="inlineStr">
        <is>
          <t>Owner</t>
        </is>
      </c>
      <c r="F5" s="47" t="inlineStr">
        <is>
          <t>Due Date</t>
        </is>
      </c>
      <c r="G5" s="47" t="inlineStr">
        <is>
          <t>Revised Due Date</t>
        </is>
      </c>
      <c r="H5" s="47" t="inlineStr">
        <is>
          <t>Status</t>
        </is>
      </c>
      <c r="I5" s="47" t="inlineStr">
        <is>
          <t>Completed Date</t>
        </is>
      </c>
      <c r="J5" s="47" t="inlineStr">
        <is>
          <t>Depends On</t>
        </is>
      </c>
      <c r="K5" s="47" t="inlineStr">
        <is>
          <t>Critical Path</t>
        </is>
      </c>
      <c r="L5" s="47" t="inlineStr">
        <is>
          <t>Notes</t>
        </is>
      </c>
      <c r="M5" s="48" t="inlineStr">
        <is>
          <t>Effective Due</t>
        </is>
      </c>
      <c r="N5" s="48" t="inlineStr">
        <is>
          <t>Quarter</t>
        </is>
      </c>
      <c r="O5" s="48" t="inlineStr">
        <is>
          <t>Slip Days</t>
        </is>
      </c>
      <c r="P5" s="48" t="inlineStr">
        <is>
          <t>Days to Due</t>
        </is>
      </c>
      <c r="Q5" s="48" t="inlineStr">
        <is>
          <t>Schedule Flag</t>
        </is>
      </c>
      <c r="R5" s="48" t="inlineStr">
        <is>
          <t>Dependency Status</t>
        </is>
      </c>
      <c r="S5" s="48" t="inlineStr">
        <is>
          <t>Open Rank</t>
        </is>
      </c>
    </row>
    <row r="6">
      <c r="A6" s="49" t="inlineStr">
        <is>
          <t>MS-001</t>
        </is>
      </c>
      <c r="B6" s="27" t="inlineStr">
        <is>
          <t>Draft clearance protocol circulated to Executive Office and County Attorney</t>
        </is>
      </c>
      <c r="C6" s="49" t="inlineStr">
        <is>
          <t>OBJ-6</t>
        </is>
      </c>
      <c r="D6" s="27" t="inlineStr">
        <is>
          <t>Internal Target</t>
        </is>
      </c>
      <c r="E6" s="49" t="inlineStr">
        <is>
          <t>Elena Marsh</t>
        </is>
      </c>
      <c r="F6" s="50" t="n">
        <v>46395</v>
      </c>
      <c r="G6" s="50" t="n"/>
      <c r="H6" s="49" t="inlineStr">
        <is>
          <t>Complete</t>
        </is>
      </c>
      <c r="I6" s="50" t="n">
        <v>46394</v>
      </c>
      <c r="J6" s="49" t="n"/>
      <c r="K6" s="56" t="inlineStr">
        <is>
          <t>No</t>
        </is>
      </c>
      <c r="L6" s="27" t="n"/>
      <c r="M6" s="54">
        <f>IF(AND(tblMilestones[[#This Row],[Due Date]]="",tblMilestones[[#This Row],[Revised Due Date]]=""),"",IF(tblMilestones[[#This Row],[Revised Due Date]]&lt;&gt;"",tblMilestones[[#This Row],[Revised Due Date]],tblMilestones[[#This Row],[Due Date]]))</f>
        <v>46395.0</v>
      </c>
      <c r="N6" s="55" t="str">
        <f>IF(tblMilestones[[#This Row],[Effective Due]]="","","Q"&amp;(INT(MOD(MONTH(tblMilestones[[#This Row],[Effective Due]])-StartMonth,12)/3)+1))</f>
        <v>Q1</v>
      </c>
      <c r="O6" s="51" t="str">
        <f>IF(OR(tblMilestones[[#This Row],[Revised Due Date]]="",tblMilestones[[#This Row],[Due Date]]=""),"",tblMilestones[[#This Row],[Revised Due Date]]-tblMilestones[[#This Row],[Due Date]])</f>
        <v/>
      </c>
      <c r="P6" s="51" t="str">
        <f>IF(OR(tblMilestones[[#This Row],[Effective Due]]="",tblMilestones[[#This Row],[Status]]="Complete"),"",tblMilestones[[#This Row],[Effective Due]]-AsOf)</f>
        <v/>
      </c>
      <c r="Q6" s="53"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Completed On Time</v>
      </c>
      <c r="R6" s="53" t="str">
        <f>IF(tblMilestones[[#This Row],[Depends On]]="","",IFERROR(INDEX(tblMilestones[Status],MATCH(tblMilestones[[#This Row],[Depends On]],tblMilestones[ID],0)),"Not Found"))</f>
        <v/>
      </c>
      <c r="S6" s="51"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7">
      <c r="A7" s="49" t="inlineStr">
        <is>
          <t>MS-002</t>
        </is>
      </c>
      <c r="B7" s="27" t="inlineStr">
        <is>
          <t>County Executive approves position-clearance protocol</t>
        </is>
      </c>
      <c r="C7" s="49" t="inlineStr">
        <is>
          <t>OBJ-6</t>
        </is>
      </c>
      <c r="D7" s="27" t="inlineStr">
        <is>
          <t>Decision Point</t>
        </is>
      </c>
      <c r="E7" s="49" t="inlineStr">
        <is>
          <t>Elena Marsh</t>
        </is>
      </c>
      <c r="F7" s="50" t="n">
        <v>46409</v>
      </c>
      <c r="G7" s="50" t="n"/>
      <c r="H7" s="49" t="inlineStr">
        <is>
          <t>Complete</t>
        </is>
      </c>
      <c r="I7" s="50" t="n">
        <v>46416</v>
      </c>
      <c r="J7" s="49" t="inlineStr">
        <is>
          <t>MS-001</t>
        </is>
      </c>
      <c r="K7" s="56" t="inlineStr">
        <is>
          <t>No</t>
        </is>
      </c>
      <c r="L7" s="27" t="inlineStr">
        <is>
          <t>Completed Jan 29, one week after the Jan 22 target, while County Attorney comments were finalized. Original date kept.</t>
        </is>
      </c>
      <c r="M7" s="54">
        <f>IF(AND(tblMilestones[[#This Row],[Due Date]]="",tblMilestones[[#This Row],[Revised Due Date]]=""),"",IF(tblMilestones[[#This Row],[Revised Due Date]]&lt;&gt;"",tblMilestones[[#This Row],[Revised Due Date]],tblMilestones[[#This Row],[Due Date]]))</f>
        <v>46409.0</v>
      </c>
      <c r="N7" s="55" t="str">
        <f>IF(tblMilestones[[#This Row],[Effective Due]]="","","Q"&amp;(INT(MOD(MONTH(tblMilestones[[#This Row],[Effective Due]])-StartMonth,12)/3)+1))</f>
        <v>Q1</v>
      </c>
      <c r="O7" s="51" t="str">
        <f>IF(OR(tblMilestones[[#This Row],[Revised Due Date]]="",tblMilestones[[#This Row],[Due Date]]=""),"",tblMilestones[[#This Row],[Revised Due Date]]-tblMilestones[[#This Row],[Due Date]])</f>
        <v/>
      </c>
      <c r="P7" s="51" t="str">
        <f>IF(OR(tblMilestones[[#This Row],[Effective Due]]="",tblMilestones[[#This Row],[Status]]="Complete"),"",tblMilestones[[#This Row],[Effective Due]]-AsOf)</f>
        <v/>
      </c>
      <c r="Q7" s="53"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Completed Late</v>
      </c>
      <c r="R7" s="53" t="str">
        <f>IF(tblMilestones[[#This Row],[Depends On]]="","",IFERROR(INDEX(tblMilestones[Status],MATCH(tblMilestones[[#This Row],[Depends On]],tblMilestones[ID],0)),"Not Found"))</f>
        <v>Complete</v>
      </c>
      <c r="S7" s="51"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8">
      <c r="A8" s="49" t="inlineStr">
        <is>
          <t>MS-003</t>
        </is>
      </c>
      <c r="B8" s="27" t="inlineStr">
        <is>
          <t>Q1 report delivered to County Executive and Board</t>
        </is>
      </c>
      <c r="C8" s="49" t="inlineStr">
        <is>
          <t>OBJ-6</t>
        </is>
      </c>
      <c r="D8" s="27" t="inlineStr">
        <is>
          <t>Internal Target</t>
        </is>
      </c>
      <c r="E8" s="49" t="inlineStr">
        <is>
          <t>Elena Marsh</t>
        </is>
      </c>
      <c r="F8" s="50" t="n">
        <v>46492</v>
      </c>
      <c r="G8" s="50" t="n"/>
      <c r="H8" s="49" t="inlineStr">
        <is>
          <t>In Progress</t>
        </is>
      </c>
      <c r="I8" s="50" t="n"/>
      <c r="J8" s="49" t="n"/>
      <c r="K8" s="56" t="inlineStr">
        <is>
          <t>No</t>
        </is>
      </c>
      <c r="L8" s="27" t="inlineStr">
        <is>
          <t>Draft in review.</t>
        </is>
      </c>
      <c r="M8" s="54">
        <f>IF(AND(tblMilestones[[#This Row],[Due Date]]="",tblMilestones[[#This Row],[Revised Due Date]]=""),"",IF(tblMilestones[[#This Row],[Revised Due Date]]&lt;&gt;"",tblMilestones[[#This Row],[Revised Due Date]],tblMilestones[[#This Row],[Due Date]]))</f>
        <v>46492.0</v>
      </c>
      <c r="N8" s="55" t="str">
        <f>IF(tblMilestones[[#This Row],[Effective Due]]="","","Q"&amp;(INT(MOD(MONTH(tblMilestones[[#This Row],[Effective Due]])-StartMonth,12)/3)+1))</f>
        <v>Q2</v>
      </c>
      <c r="O8" s="51" t="str">
        <f>IF(OR(tblMilestones[[#This Row],[Revised Due Date]]="",tblMilestones[[#This Row],[Due Date]]=""),"",tblMilestones[[#This Row],[Revised Due Date]]-tblMilestones[[#This Row],[Due Date]])</f>
        <v/>
      </c>
      <c r="P8" s="51">
        <f>IF(OR(tblMilestones[[#This Row],[Effective Due]]="",tblMilestones[[#This Row],[Status]]="Complete"),"",tblMilestones[[#This Row],[Effective Due]]-AsOf)</f>
        <v>7</v>
      </c>
      <c r="Q8" s="53"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Due Within 14 Days</v>
      </c>
      <c r="R8" s="53" t="str">
        <f>IF(tblMilestones[[#This Row],[Depends On]]="","",IFERROR(INDEX(tblMilestones[Status],MATCH(tblMilestones[[#This Row],[Depends On]],tblMilestones[ID],0)),"Not Found"))</f>
        <v/>
      </c>
      <c r="S8" s="51">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2</v>
      </c>
    </row>
    <row r="9">
      <c r="A9" s="49" t="inlineStr">
        <is>
          <t>MS-004</t>
        </is>
      </c>
      <c r="B9" s="27" t="inlineStr">
        <is>
          <t>Q2 report delivered to County Executive and Board</t>
        </is>
      </c>
      <c r="C9" s="49" t="inlineStr">
        <is>
          <t>OBJ-6</t>
        </is>
      </c>
      <c r="D9" s="27" t="inlineStr">
        <is>
          <t>Internal Target</t>
        </is>
      </c>
      <c r="E9" s="49" t="inlineStr">
        <is>
          <t>Elena Marsh</t>
        </is>
      </c>
      <c r="F9" s="50" t="n">
        <v>46583</v>
      </c>
      <c r="G9" s="50" t="n"/>
      <c r="H9" s="49" t="inlineStr">
        <is>
          <t>Not Started</t>
        </is>
      </c>
      <c r="I9" s="50" t="n"/>
      <c r="J9" s="49" t="inlineStr">
        <is>
          <t>MS-003</t>
        </is>
      </c>
      <c r="K9" s="56" t="inlineStr">
        <is>
          <t>No</t>
        </is>
      </c>
      <c r="L9" s="27" t="n"/>
      <c r="M9" s="54">
        <f>IF(AND(tblMilestones[[#This Row],[Due Date]]="",tblMilestones[[#This Row],[Revised Due Date]]=""),"",IF(tblMilestones[[#This Row],[Revised Due Date]]&lt;&gt;"",tblMilestones[[#This Row],[Revised Due Date]],tblMilestones[[#This Row],[Due Date]]))</f>
        <v>46583.0</v>
      </c>
      <c r="N9" s="55" t="str">
        <f>IF(tblMilestones[[#This Row],[Effective Due]]="","","Q"&amp;(INT(MOD(MONTH(tblMilestones[[#This Row],[Effective Due]])-StartMonth,12)/3)+1))</f>
        <v>Q3</v>
      </c>
      <c r="O9" s="51" t="str">
        <f>IF(OR(tblMilestones[[#This Row],[Revised Due Date]]="",tblMilestones[[#This Row],[Due Date]]=""),"",tblMilestones[[#This Row],[Revised Due Date]]-tblMilestones[[#This Row],[Due Date]])</f>
        <v/>
      </c>
      <c r="P9" s="51">
        <f>IF(OR(tblMilestones[[#This Row],[Effective Due]]="",tblMilestones[[#This Row],[Status]]="Complete"),"",tblMilestones[[#This Row],[Effective Due]]-AsOf)</f>
        <v>98</v>
      </c>
      <c r="Q9" s="53"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On Schedule</v>
      </c>
      <c r="R9" s="53" t="str">
        <f>IF(tblMilestones[[#This Row],[Depends On]]="","",IFERROR(INDEX(tblMilestones[Status],MATCH(tblMilestones[[#This Row],[Depends On]],tblMilestones[ID],0)),"Not Found"))</f>
        <v>In Progress</v>
      </c>
      <c r="S9" s="51">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15</v>
      </c>
    </row>
    <row r="10">
      <c r="A10" s="49" t="inlineStr">
        <is>
          <t>MS-005</t>
        </is>
      </c>
      <c r="B10" s="27" t="inlineStr">
        <is>
          <t>Q3 report delivered to County Executive and Board</t>
        </is>
      </c>
      <c r="C10" s="49" t="inlineStr">
        <is>
          <t>OBJ-6</t>
        </is>
      </c>
      <c r="D10" s="27" t="inlineStr">
        <is>
          <t>Internal Target</t>
        </is>
      </c>
      <c r="E10" s="49" t="inlineStr">
        <is>
          <t>Elena Marsh</t>
        </is>
      </c>
      <c r="F10" s="50" t="n">
        <v>46675</v>
      </c>
      <c r="G10" s="50" t="n"/>
      <c r="H10" s="49" t="inlineStr">
        <is>
          <t>Not Started</t>
        </is>
      </c>
      <c r="I10" s="50" t="n"/>
      <c r="J10" s="49" t="inlineStr">
        <is>
          <t>MS-004</t>
        </is>
      </c>
      <c r="K10" s="56" t="inlineStr">
        <is>
          <t>No</t>
        </is>
      </c>
      <c r="L10" s="27" t="n"/>
      <c r="M10" s="54">
        <f>IF(AND(tblMilestones[[#This Row],[Due Date]]="",tblMilestones[[#This Row],[Revised Due Date]]=""),"",IF(tblMilestones[[#This Row],[Revised Due Date]]&lt;&gt;"",tblMilestones[[#This Row],[Revised Due Date]],tblMilestones[[#This Row],[Due Date]]))</f>
        <v>46675.0</v>
      </c>
      <c r="N10" s="55" t="str">
        <f>IF(tblMilestones[[#This Row],[Effective Due]]="","","Q"&amp;(INT(MOD(MONTH(tblMilestones[[#This Row],[Effective Due]])-StartMonth,12)/3)+1))</f>
        <v>Q4</v>
      </c>
      <c r="O10" s="51" t="str">
        <f>IF(OR(tblMilestones[[#This Row],[Revised Due Date]]="",tblMilestones[[#This Row],[Due Date]]=""),"",tblMilestones[[#This Row],[Revised Due Date]]-tblMilestones[[#This Row],[Due Date]])</f>
        <v/>
      </c>
      <c r="P10" s="51">
        <f>IF(OR(tblMilestones[[#This Row],[Effective Due]]="",tblMilestones[[#This Row],[Status]]="Complete"),"",tblMilestones[[#This Row],[Effective Due]]-AsOf)</f>
        <v>190</v>
      </c>
      <c r="Q10" s="53"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On Schedule</v>
      </c>
      <c r="R10" s="53" t="str">
        <f>IF(tblMilestones[[#This Row],[Depends On]]="","",IFERROR(INDEX(tblMilestones[Status],MATCH(tblMilestones[[#This Row],[Depends On]],tblMilestones[ID],0)),"Not Found"))</f>
        <v>Not Started</v>
      </c>
      <c r="S10" s="51">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23</v>
      </c>
    </row>
    <row r="11">
      <c r="A11" s="49" t="inlineStr">
        <is>
          <t>MS-006</t>
        </is>
      </c>
      <c r="B11" s="27" t="inlineStr">
        <is>
          <t>Mid-year plan adjustment decision with County Executive</t>
        </is>
      </c>
      <c r="C11" s="49" t="inlineStr">
        <is>
          <t>OBJ-6</t>
        </is>
      </c>
      <c r="D11" s="27" t="inlineStr">
        <is>
          <t>Decision Point</t>
        </is>
      </c>
      <c r="E11" s="49" t="inlineStr">
        <is>
          <t>Elena Marsh</t>
        </is>
      </c>
      <c r="F11" s="50" t="n">
        <v>46590</v>
      </c>
      <c r="G11" s="50" t="n"/>
      <c r="H11" s="49" t="inlineStr">
        <is>
          <t>Not Started</t>
        </is>
      </c>
      <c r="I11" s="50" t="n"/>
      <c r="J11" s="49" t="inlineStr">
        <is>
          <t>MS-004</t>
        </is>
      </c>
      <c r="K11" s="56" t="inlineStr">
        <is>
          <t>No</t>
        </is>
      </c>
      <c r="L11" s="27" t="inlineStr">
        <is>
          <t>Based on Q2 review.</t>
        </is>
      </c>
      <c r="M11" s="54">
        <f>IF(AND(tblMilestones[[#This Row],[Due Date]]="",tblMilestones[[#This Row],[Revised Due Date]]=""),"",IF(tblMilestones[[#This Row],[Revised Due Date]]&lt;&gt;"",tblMilestones[[#This Row],[Revised Due Date]],tblMilestones[[#This Row],[Due Date]]))</f>
        <v>46590.0</v>
      </c>
      <c r="N11" s="55" t="str">
        <f>IF(tblMilestones[[#This Row],[Effective Due]]="","","Q"&amp;(INT(MOD(MONTH(tblMilestones[[#This Row],[Effective Due]])-StartMonth,12)/3)+1))</f>
        <v>Q3</v>
      </c>
      <c r="O11" s="51" t="str">
        <f>IF(OR(tblMilestones[[#This Row],[Revised Due Date]]="",tblMilestones[[#This Row],[Due Date]]=""),"",tblMilestones[[#This Row],[Revised Due Date]]-tblMilestones[[#This Row],[Due Date]])</f>
        <v/>
      </c>
      <c r="P11" s="51">
        <f>IF(OR(tblMilestones[[#This Row],[Effective Due]]="",tblMilestones[[#This Row],[Status]]="Complete"),"",tblMilestones[[#This Row],[Effective Due]]-AsOf)</f>
        <v>105</v>
      </c>
      <c r="Q11" s="53"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On Schedule</v>
      </c>
      <c r="R11" s="53" t="str">
        <f>IF(tblMilestones[[#This Row],[Depends On]]="","",IFERROR(INDEX(tblMilestones[Status],MATCH(tblMilestones[[#This Row],[Depends On]],tblMilestones[ID],0)),"Not Found"))</f>
        <v>Not Started</v>
      </c>
      <c r="S11" s="51">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17</v>
      </c>
    </row>
    <row r="12">
      <c r="A12" s="49" t="inlineStr">
        <is>
          <t>MS-007</t>
        </is>
      </c>
      <c r="B12" s="27" t="inlineStr">
        <is>
          <t>Board briefed on legislative platform and sequencing</t>
        </is>
      </c>
      <c r="C12" s="49" t="inlineStr">
        <is>
          <t>OBJ-1</t>
        </is>
      </c>
      <c r="D12" s="27" t="inlineStr">
        <is>
          <t>Internal Target</t>
        </is>
      </c>
      <c r="E12" s="49" t="inlineStr">
        <is>
          <t>Elena Marsh</t>
        </is>
      </c>
      <c r="F12" s="50" t="n">
        <v>46392</v>
      </c>
      <c r="G12" s="50" t="n"/>
      <c r="H12" s="49" t="inlineStr">
        <is>
          <t>Complete</t>
        </is>
      </c>
      <c r="I12" s="50" t="n">
        <v>46392</v>
      </c>
      <c r="J12" s="49" t="n"/>
      <c r="K12" s="56" t="inlineStr">
        <is>
          <t>No</t>
        </is>
      </c>
      <c r="L12" s="27" t="n"/>
      <c r="M12" s="54">
        <f>IF(AND(tblMilestones[[#This Row],[Due Date]]="",tblMilestones[[#This Row],[Revised Due Date]]=""),"",IF(tblMilestones[[#This Row],[Revised Due Date]]&lt;&gt;"",tblMilestones[[#This Row],[Revised Due Date]],tblMilestones[[#This Row],[Due Date]]))</f>
        <v>46392.0</v>
      </c>
      <c r="N12" s="55" t="str">
        <f>IF(tblMilestones[[#This Row],[Effective Due]]="","","Q"&amp;(INT(MOD(MONTH(tblMilestones[[#This Row],[Effective Due]])-StartMonth,12)/3)+1))</f>
        <v>Q1</v>
      </c>
      <c r="O12" s="51" t="str">
        <f>IF(OR(tblMilestones[[#This Row],[Revised Due Date]]="",tblMilestones[[#This Row],[Due Date]]=""),"",tblMilestones[[#This Row],[Revised Due Date]]-tblMilestones[[#This Row],[Due Date]])</f>
        <v/>
      </c>
      <c r="P12" s="51" t="str">
        <f>IF(OR(tblMilestones[[#This Row],[Effective Due]]="",tblMilestones[[#This Row],[Status]]="Complete"),"",tblMilestones[[#This Row],[Effective Due]]-AsOf)</f>
        <v/>
      </c>
      <c r="Q12" s="53"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Completed On Time</v>
      </c>
      <c r="R12" s="53" t="str">
        <f>IF(tblMilestones[[#This Row],[Depends On]]="","",IFERROR(INDEX(tblMilestones[Status],MATCH(tblMilestones[[#This Row],[Depends On]],tblMilestones[ID],0)),"Not Found"))</f>
        <v/>
      </c>
      <c r="S12" s="51"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13">
      <c r="A13" s="49" t="inlineStr">
        <is>
          <t>MS-008</t>
        </is>
      </c>
      <c r="B13" s="27" t="inlineStr">
        <is>
          <t>Prime sponsor confirmed for SB 214</t>
        </is>
      </c>
      <c r="C13" s="49" t="inlineStr">
        <is>
          <t>OBJ-1</t>
        </is>
      </c>
      <c r="D13" s="27" t="inlineStr">
        <is>
          <t>Internal Target</t>
        </is>
      </c>
      <c r="E13" s="49" t="inlineStr">
        <is>
          <t>Jordan Pike</t>
        </is>
      </c>
      <c r="F13" s="50" t="n">
        <v>46402</v>
      </c>
      <c r="G13" s="50" t="n"/>
      <c r="H13" s="49" t="inlineStr">
        <is>
          <t>Complete</t>
        </is>
      </c>
      <c r="I13" s="50" t="n">
        <v>46400</v>
      </c>
      <c r="J13" s="49" t="inlineStr">
        <is>
          <t>MS-007</t>
        </is>
      </c>
      <c r="K13" s="56" t="inlineStr">
        <is>
          <t>Yes</t>
        </is>
      </c>
      <c r="L13" s="27" t="n"/>
      <c r="M13" s="54">
        <f>IF(AND(tblMilestones[[#This Row],[Due Date]]="",tblMilestones[[#This Row],[Revised Due Date]]=""),"",IF(tblMilestones[[#This Row],[Revised Due Date]]&lt;&gt;"",tblMilestones[[#This Row],[Revised Due Date]],tblMilestones[[#This Row],[Due Date]]))</f>
        <v>46402.0</v>
      </c>
      <c r="N13" s="55" t="str">
        <f>IF(tblMilestones[[#This Row],[Effective Due]]="","","Q"&amp;(INT(MOD(MONTH(tblMilestones[[#This Row],[Effective Due]])-StartMonth,12)/3)+1))</f>
        <v>Q1</v>
      </c>
      <c r="O13" s="51" t="str">
        <f>IF(OR(tblMilestones[[#This Row],[Revised Due Date]]="",tblMilestones[[#This Row],[Due Date]]=""),"",tblMilestones[[#This Row],[Revised Due Date]]-tblMilestones[[#This Row],[Due Date]])</f>
        <v/>
      </c>
      <c r="P13" s="51" t="str">
        <f>IF(OR(tblMilestones[[#This Row],[Effective Due]]="",tblMilestones[[#This Row],[Status]]="Complete"),"",tblMilestones[[#This Row],[Effective Due]]-AsOf)</f>
        <v/>
      </c>
      <c r="Q13" s="53"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Completed On Time</v>
      </c>
      <c r="R13" s="53" t="str">
        <f>IF(tblMilestones[[#This Row],[Depends On]]="","",IFERROR(INDEX(tblMilestones[Status],MATCH(tblMilestones[[#This Row],[Depends On]],tblMilestones[ID],0)),"Not Found"))</f>
        <v>Complete</v>
      </c>
      <c r="S13" s="51"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14">
      <c r="A14" s="49" t="inlineStr">
        <is>
          <t>MS-009</t>
        </is>
      </c>
      <c r="B14" s="27" t="inlineStr">
        <is>
          <t>SB 214 filed</t>
        </is>
      </c>
      <c r="C14" s="49" t="inlineStr">
        <is>
          <t>OBJ-1</t>
        </is>
      </c>
      <c r="D14" s="27" t="inlineStr">
        <is>
          <t>Fixed External Date</t>
        </is>
      </c>
      <c r="E14" s="49" t="inlineStr">
        <is>
          <t>Jordan Pike</t>
        </is>
      </c>
      <c r="F14" s="50" t="n">
        <v>46423</v>
      </c>
      <c r="G14" s="50" t="n"/>
      <c r="H14" s="49" t="inlineStr">
        <is>
          <t>Complete</t>
        </is>
      </c>
      <c r="I14" s="50" t="n">
        <v>46413</v>
      </c>
      <c r="J14" s="49" t="inlineStr">
        <is>
          <t>MS-008</t>
        </is>
      </c>
      <c r="K14" s="56" t="inlineStr">
        <is>
          <t>Yes</t>
        </is>
      </c>
      <c r="L14" s="27" t="inlineStr">
        <is>
          <t>Filing deadline Feb 5.</t>
        </is>
      </c>
      <c r="M14" s="54">
        <f>IF(AND(tblMilestones[[#This Row],[Due Date]]="",tblMilestones[[#This Row],[Revised Due Date]]=""),"",IF(tblMilestones[[#This Row],[Revised Due Date]]&lt;&gt;"",tblMilestones[[#This Row],[Revised Due Date]],tblMilestones[[#This Row],[Due Date]]))</f>
        <v>46423.0</v>
      </c>
      <c r="N14" s="55" t="str">
        <f>IF(tblMilestones[[#This Row],[Effective Due]]="","","Q"&amp;(INT(MOD(MONTH(tblMilestones[[#This Row],[Effective Due]])-StartMonth,12)/3)+1))</f>
        <v>Q1</v>
      </c>
      <c r="O14" s="51" t="str">
        <f>IF(OR(tblMilestones[[#This Row],[Revised Due Date]]="",tblMilestones[[#This Row],[Due Date]]=""),"",tblMilestones[[#This Row],[Revised Due Date]]-tblMilestones[[#This Row],[Due Date]])</f>
        <v/>
      </c>
      <c r="P14" s="51" t="str">
        <f>IF(OR(tblMilestones[[#This Row],[Effective Due]]="",tblMilestones[[#This Row],[Status]]="Complete"),"",tblMilestones[[#This Row],[Effective Due]]-AsOf)</f>
        <v/>
      </c>
      <c r="Q14" s="53"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Completed On Time</v>
      </c>
      <c r="R14" s="53" t="str">
        <f>IF(tblMilestones[[#This Row],[Depends On]]="","",IFERROR(INDEX(tblMilestones[Status],MATCH(tblMilestones[[#This Row],[Depends On]],tblMilestones[ID],0)),"Not Found"))</f>
        <v>Complete</v>
      </c>
      <c r="S14" s="51"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15">
      <c r="A15" s="49" t="inlineStr">
        <is>
          <t>MS-010</t>
        </is>
      </c>
      <c r="B15" s="27" t="inlineStr">
        <is>
          <t>Testimony delivered in Senate committee</t>
        </is>
      </c>
      <c r="C15" s="49" t="inlineStr">
        <is>
          <t>OBJ-1</t>
        </is>
      </c>
      <c r="D15" s="27" t="inlineStr">
        <is>
          <t>Internal Target</t>
        </is>
      </c>
      <c r="E15" s="49" t="inlineStr">
        <is>
          <t>Elena Marsh</t>
        </is>
      </c>
      <c r="F15" s="50" t="n">
        <v>46442</v>
      </c>
      <c r="G15" s="50" t="n"/>
      <c r="H15" s="49" t="inlineStr">
        <is>
          <t>Complete</t>
        </is>
      </c>
      <c r="I15" s="50" t="n">
        <v>46442</v>
      </c>
      <c r="J15" s="49" t="inlineStr">
        <is>
          <t>MS-009</t>
        </is>
      </c>
      <c r="K15" s="56" t="inlineStr">
        <is>
          <t>Yes</t>
        </is>
      </c>
      <c r="L15" s="27" t="n"/>
      <c r="M15" s="54">
        <f>IF(AND(tblMilestones[[#This Row],[Due Date]]="",tblMilestones[[#This Row],[Revised Due Date]]=""),"",IF(tblMilestones[[#This Row],[Revised Due Date]]&lt;&gt;"",tblMilestones[[#This Row],[Revised Due Date]],tblMilestones[[#This Row],[Due Date]]))</f>
        <v>46442.0</v>
      </c>
      <c r="N15" s="55" t="str">
        <f>IF(tblMilestones[[#This Row],[Effective Due]]="","","Q"&amp;(INT(MOD(MONTH(tblMilestones[[#This Row],[Effective Due]])-StartMonth,12)/3)+1))</f>
        <v>Q1</v>
      </c>
      <c r="O15" s="51" t="str">
        <f>IF(OR(tblMilestones[[#This Row],[Revised Due Date]]="",tblMilestones[[#This Row],[Due Date]]=""),"",tblMilestones[[#This Row],[Revised Due Date]]-tblMilestones[[#This Row],[Due Date]])</f>
        <v/>
      </c>
      <c r="P15" s="51" t="str">
        <f>IF(OR(tblMilestones[[#This Row],[Effective Due]]="",tblMilestones[[#This Row],[Status]]="Complete"),"",tblMilestones[[#This Row],[Effective Due]]-AsOf)</f>
        <v/>
      </c>
      <c r="Q15" s="53"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Completed On Time</v>
      </c>
      <c r="R15" s="53" t="str">
        <f>IF(tblMilestones[[#This Row],[Depends On]]="","",IFERROR(INDEX(tblMilestones[Status],MATCH(tblMilestones[[#This Row],[Depends On]],tblMilestones[ID],0)),"Not Found"))</f>
        <v>Complete</v>
      </c>
      <c r="S15" s="51"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16">
      <c r="A16" s="49" t="inlineStr">
        <is>
          <t>MS-011</t>
        </is>
      </c>
      <c r="B16" s="27" t="inlineStr">
        <is>
          <t>SB 214 passes originating chamber</t>
        </is>
      </c>
      <c r="C16" s="49" t="inlineStr">
        <is>
          <t>OBJ-1</t>
        </is>
      </c>
      <c r="D16" s="27" t="inlineStr">
        <is>
          <t>Fixed External Date</t>
        </is>
      </c>
      <c r="E16" s="49" t="inlineStr">
        <is>
          <t>Jordan Pike</t>
        </is>
      </c>
      <c r="F16" s="50" t="n">
        <v>46458</v>
      </c>
      <c r="G16" s="50" t="n"/>
      <c r="H16" s="49" t="inlineStr">
        <is>
          <t>Complete</t>
        </is>
      </c>
      <c r="I16" s="50" t="n">
        <v>46456</v>
      </c>
      <c r="J16" s="49" t="inlineStr">
        <is>
          <t>MS-010</t>
        </is>
      </c>
      <c r="K16" s="56" t="inlineStr">
        <is>
          <t>Yes</t>
        </is>
      </c>
      <c r="L16" s="27" t="inlineStr">
        <is>
          <t>House-of-origin deadline Mar 12.</t>
        </is>
      </c>
      <c r="M16" s="54">
        <f>IF(AND(tblMilestones[[#This Row],[Due Date]]="",tblMilestones[[#This Row],[Revised Due Date]]=""),"",IF(tblMilestones[[#This Row],[Revised Due Date]]&lt;&gt;"",tblMilestones[[#This Row],[Revised Due Date]],tblMilestones[[#This Row],[Due Date]]))</f>
        <v>46458.0</v>
      </c>
      <c r="N16" s="55" t="str">
        <f>IF(tblMilestones[[#This Row],[Effective Due]]="","","Q"&amp;(INT(MOD(MONTH(tblMilestones[[#This Row],[Effective Due]])-StartMonth,12)/3)+1))</f>
        <v>Q1</v>
      </c>
      <c r="O16" s="51" t="str">
        <f>IF(OR(tblMilestones[[#This Row],[Revised Due Date]]="",tblMilestones[[#This Row],[Due Date]]=""),"",tblMilestones[[#This Row],[Revised Due Date]]-tblMilestones[[#This Row],[Due Date]])</f>
        <v/>
      </c>
      <c r="P16" s="51" t="str">
        <f>IF(OR(tblMilestones[[#This Row],[Effective Due]]="",tblMilestones[[#This Row],[Status]]="Complete"),"",tblMilestones[[#This Row],[Effective Due]]-AsOf)</f>
        <v/>
      </c>
      <c r="Q16" s="53"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Completed On Time</v>
      </c>
      <c r="R16" s="53" t="str">
        <f>IF(tblMilestones[[#This Row],[Depends On]]="","",IFERROR(INDEX(tblMilestones[Status],MATCH(tblMilestones[[#This Row],[Depends On]],tblMilestones[ID],0)),"Not Found"))</f>
        <v>Complete</v>
      </c>
      <c r="S16" s="51"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17">
      <c r="A17" s="49" t="inlineStr">
        <is>
          <t>MS-012</t>
        </is>
      </c>
      <c r="B17" s="27" t="inlineStr">
        <is>
          <t>House committee vote on SB 214</t>
        </is>
      </c>
      <c r="C17" s="49" t="inlineStr">
        <is>
          <t>OBJ-1</t>
        </is>
      </c>
      <c r="D17" s="27" t="inlineStr">
        <is>
          <t>Fixed External Date</t>
        </is>
      </c>
      <c r="E17" s="49" t="inlineStr">
        <is>
          <t>Jordan Pike</t>
        </is>
      </c>
      <c r="F17" s="50" t="n">
        <v>46491</v>
      </c>
      <c r="G17" s="50" t="n"/>
      <c r="H17" s="49" t="inlineStr">
        <is>
          <t>In Progress</t>
        </is>
      </c>
      <c r="I17" s="50" t="n"/>
      <c r="J17" s="49" t="inlineStr">
        <is>
          <t>MS-011</t>
        </is>
      </c>
      <c r="K17" s="56" t="inlineStr">
        <is>
          <t>Yes</t>
        </is>
      </c>
      <c r="L17" s="27" t="inlineStr">
        <is>
          <t>Hearing noticed for Apr 14.</t>
        </is>
      </c>
      <c r="M17" s="54">
        <f>IF(AND(tblMilestones[[#This Row],[Due Date]]="",tblMilestones[[#This Row],[Revised Due Date]]=""),"",IF(tblMilestones[[#This Row],[Revised Due Date]]&lt;&gt;"",tblMilestones[[#This Row],[Revised Due Date]],tblMilestones[[#This Row],[Due Date]]))</f>
        <v>46491.0</v>
      </c>
      <c r="N17" s="55" t="str">
        <f>IF(tblMilestones[[#This Row],[Effective Due]]="","","Q"&amp;(INT(MOD(MONTH(tblMilestones[[#This Row],[Effective Due]])-StartMonth,12)/3)+1))</f>
        <v>Q2</v>
      </c>
      <c r="O17" s="51" t="str">
        <f>IF(OR(tblMilestones[[#This Row],[Revised Due Date]]="",tblMilestones[[#This Row],[Due Date]]=""),"",tblMilestones[[#This Row],[Revised Due Date]]-tblMilestones[[#This Row],[Due Date]])</f>
        <v/>
      </c>
      <c r="P17" s="51">
        <f>IF(OR(tblMilestones[[#This Row],[Effective Due]]="",tblMilestones[[#This Row],[Status]]="Complete"),"",tblMilestones[[#This Row],[Effective Due]]-AsOf)</f>
        <v>6</v>
      </c>
      <c r="Q17" s="53"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Due Within 14 Days</v>
      </c>
      <c r="R17" s="53" t="str">
        <f>IF(tblMilestones[[#This Row],[Depends On]]="","",IFERROR(INDEX(tblMilestones[Status],MATCH(tblMilestones[[#This Row],[Depends On]],tblMilestones[ID],0)),"Not Found"))</f>
        <v>Complete</v>
      </c>
      <c r="S17" s="51">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1</v>
      </c>
    </row>
    <row r="18">
      <c r="A18" s="49" t="inlineStr">
        <is>
          <t>MS-013</t>
        </is>
      </c>
      <c r="B18" s="27" t="inlineStr">
        <is>
          <t>Final passage before adjournment</t>
        </is>
      </c>
      <c r="C18" s="49" t="inlineStr">
        <is>
          <t>OBJ-1</t>
        </is>
      </c>
      <c r="D18" s="27" t="inlineStr">
        <is>
          <t>Fixed External Date</t>
        </is>
      </c>
      <c r="E18" s="49" t="inlineStr">
        <is>
          <t>Jordan Pike</t>
        </is>
      </c>
      <c r="F18" s="50" t="n">
        <v>46506</v>
      </c>
      <c r="G18" s="50" t="n"/>
      <c r="H18" s="49" t="inlineStr">
        <is>
          <t>Not Started</t>
        </is>
      </c>
      <c r="I18" s="50" t="n"/>
      <c r="J18" s="49" t="inlineStr">
        <is>
          <t>MS-012</t>
        </is>
      </c>
      <c r="K18" s="56" t="inlineStr">
        <is>
          <t>Yes</t>
        </is>
      </c>
      <c r="L18" s="27" t="inlineStr">
        <is>
          <t>Session adjourns Apr 29.</t>
        </is>
      </c>
      <c r="M18" s="54">
        <f>IF(AND(tblMilestones[[#This Row],[Due Date]]="",tblMilestones[[#This Row],[Revised Due Date]]=""),"",IF(tblMilestones[[#This Row],[Revised Due Date]]&lt;&gt;"",tblMilestones[[#This Row],[Revised Due Date]],tblMilestones[[#This Row],[Due Date]]))</f>
        <v>46506.0</v>
      </c>
      <c r="N18" s="55" t="str">
        <f>IF(tblMilestones[[#This Row],[Effective Due]]="","","Q"&amp;(INT(MOD(MONTH(tblMilestones[[#This Row],[Effective Due]])-StartMonth,12)/3)+1))</f>
        <v>Q2</v>
      </c>
      <c r="O18" s="51" t="str">
        <f>IF(OR(tblMilestones[[#This Row],[Revised Due Date]]="",tblMilestones[[#This Row],[Due Date]]=""),"",tblMilestones[[#This Row],[Revised Due Date]]-tblMilestones[[#This Row],[Due Date]])</f>
        <v/>
      </c>
      <c r="P18" s="51">
        <f>IF(OR(tblMilestones[[#This Row],[Effective Due]]="",tblMilestones[[#This Row],[Status]]="Complete"),"",tblMilestones[[#This Row],[Effective Due]]-AsOf)</f>
        <v>21</v>
      </c>
      <c r="Q18" s="53"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On Schedule</v>
      </c>
      <c r="R18" s="53" t="str">
        <f>IF(tblMilestones[[#This Row],[Depends On]]="","",IFERROR(INDEX(tblMilestones[Status],MATCH(tblMilestones[[#This Row],[Depends On]],tblMilestones[ID],0)),"Not Found"))</f>
        <v>In Progress</v>
      </c>
      <c r="S18" s="51">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4</v>
      </c>
    </row>
    <row r="19">
      <c r="A19" s="49" t="inlineStr">
        <is>
          <t>MS-014</t>
        </is>
      </c>
      <c r="B19" s="27" t="inlineStr">
        <is>
          <t>Governor action window closes</t>
        </is>
      </c>
      <c r="C19" s="49" t="inlineStr">
        <is>
          <t>OBJ-1</t>
        </is>
      </c>
      <c r="D19" s="27" t="inlineStr">
        <is>
          <t>Fixed External Date</t>
        </is>
      </c>
      <c r="E19" s="49" t="inlineStr">
        <is>
          <t>Elena Marsh</t>
        </is>
      </c>
      <c r="F19" s="50" t="n">
        <v>46535</v>
      </c>
      <c r="G19" s="50" t="n"/>
      <c r="H19" s="49" t="inlineStr">
        <is>
          <t>Not Started</t>
        </is>
      </c>
      <c r="I19" s="50" t="n"/>
      <c r="J19" s="49" t="inlineStr">
        <is>
          <t>MS-013</t>
        </is>
      </c>
      <c r="K19" s="56" t="inlineStr">
        <is>
          <t>Yes</t>
        </is>
      </c>
      <c r="L19" s="27" t="inlineStr">
        <is>
          <t>Fictional 30 day window.</t>
        </is>
      </c>
      <c r="M19" s="54">
        <f>IF(AND(tblMilestones[[#This Row],[Due Date]]="",tblMilestones[[#This Row],[Revised Due Date]]=""),"",IF(tblMilestones[[#This Row],[Revised Due Date]]&lt;&gt;"",tblMilestones[[#This Row],[Revised Due Date]],tblMilestones[[#This Row],[Due Date]]))</f>
        <v>46535.0</v>
      </c>
      <c r="N19" s="55" t="str">
        <f>IF(tblMilestones[[#This Row],[Effective Due]]="","","Q"&amp;(INT(MOD(MONTH(tblMilestones[[#This Row],[Effective Due]])-StartMonth,12)/3)+1))</f>
        <v>Q2</v>
      </c>
      <c r="O19" s="51" t="str">
        <f>IF(OR(tblMilestones[[#This Row],[Revised Due Date]]="",tblMilestones[[#This Row],[Due Date]]=""),"",tblMilestones[[#This Row],[Revised Due Date]]-tblMilestones[[#This Row],[Due Date]])</f>
        <v/>
      </c>
      <c r="P19" s="51">
        <f>IF(OR(tblMilestones[[#This Row],[Effective Due]]="",tblMilestones[[#This Row],[Status]]="Complete"),"",tblMilestones[[#This Row],[Effective Due]]-AsOf)</f>
        <v>50</v>
      </c>
      <c r="Q19" s="53"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On Schedule</v>
      </c>
      <c r="R19" s="53" t="str">
        <f>IF(tblMilestones[[#This Row],[Depends On]]="","",IFERROR(INDEX(tblMilestones[Status],MATCH(tblMilestones[[#This Row],[Depends On]],tblMilestones[ID],0)),"Not Found"))</f>
        <v>Not Started</v>
      </c>
      <c r="S19" s="51">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9</v>
      </c>
    </row>
    <row r="20">
      <c r="A20" s="49" t="inlineStr">
        <is>
          <t>MS-015</t>
        </is>
      </c>
      <c r="B20" s="27" t="inlineStr">
        <is>
          <t>Board decision on match source if enabling authority fails</t>
        </is>
      </c>
      <c r="C20" s="49" t="inlineStr">
        <is>
          <t>OBJ-3</t>
        </is>
      </c>
      <c r="D20" s="27" t="inlineStr">
        <is>
          <t>Decision Point</t>
        </is>
      </c>
      <c r="E20" s="49" t="inlineStr">
        <is>
          <t>Lena Park</t>
        </is>
      </c>
      <c r="F20" s="50" t="n">
        <v>46546</v>
      </c>
      <c r="G20" s="50" t="n"/>
      <c r="H20" s="49" t="inlineStr">
        <is>
          <t>Not Started</t>
        </is>
      </c>
      <c r="I20" s="50" t="n"/>
      <c r="J20" s="49" t="inlineStr">
        <is>
          <t>MS-014</t>
        </is>
      </c>
      <c r="K20" s="56" t="inlineStr">
        <is>
          <t>Yes</t>
        </is>
      </c>
      <c r="L20" s="27" t="inlineStr">
        <is>
          <t>Contingency decision; prepared in parallel.</t>
        </is>
      </c>
      <c r="M20" s="54">
        <f>IF(AND(tblMilestones[[#This Row],[Due Date]]="",tblMilestones[[#This Row],[Revised Due Date]]=""),"",IF(tblMilestones[[#This Row],[Revised Due Date]]&lt;&gt;"",tblMilestones[[#This Row],[Revised Due Date]],tblMilestones[[#This Row],[Due Date]]))</f>
        <v>46546.0</v>
      </c>
      <c r="N20" s="55" t="str">
        <f>IF(tblMilestones[[#This Row],[Effective Due]]="","","Q"&amp;(INT(MOD(MONTH(tblMilestones[[#This Row],[Effective Due]])-StartMonth,12)/3)+1))</f>
        <v>Q2</v>
      </c>
      <c r="O20" s="51" t="str">
        <f>IF(OR(tblMilestones[[#This Row],[Revised Due Date]]="",tblMilestones[[#This Row],[Due Date]]=""),"",tblMilestones[[#This Row],[Revised Due Date]]-tblMilestones[[#This Row],[Due Date]])</f>
        <v/>
      </c>
      <c r="P20" s="51">
        <f>IF(OR(tblMilestones[[#This Row],[Effective Due]]="",tblMilestones[[#This Row],[Status]]="Complete"),"",tblMilestones[[#This Row],[Effective Due]]-AsOf)</f>
        <v>61</v>
      </c>
      <c r="Q20" s="53"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On Schedule</v>
      </c>
      <c r="R20" s="53" t="str">
        <f>IF(tblMilestones[[#This Row],[Depends On]]="","",IFERROR(INDEX(tblMilestones[Status],MATCH(tblMilestones[[#This Row],[Depends On]],tblMilestones[ID],0)),"Not Found"))</f>
        <v>Not Started</v>
      </c>
      <c r="S20" s="51">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11</v>
      </c>
    </row>
    <row r="21">
      <c r="A21" s="49" t="inlineStr">
        <is>
          <t>MS-016</t>
        </is>
      </c>
      <c r="B21" s="27" t="inlineStr">
        <is>
          <t>HB 388 position paper and amendment language cleared</t>
        </is>
      </c>
      <c r="C21" s="49" t="inlineStr">
        <is>
          <t>OBJ-2</t>
        </is>
      </c>
      <c r="D21" s="27" t="inlineStr">
        <is>
          <t>Internal Target</t>
        </is>
      </c>
      <c r="E21" s="49" t="inlineStr">
        <is>
          <t>Jordan Pike</t>
        </is>
      </c>
      <c r="F21" s="50" t="n">
        <v>46416</v>
      </c>
      <c r="G21" s="50" t="n"/>
      <c r="H21" s="49" t="inlineStr">
        <is>
          <t>Complete</t>
        </is>
      </c>
      <c r="I21" s="50" t="n">
        <v>46420</v>
      </c>
      <c r="J21" s="49" t="inlineStr">
        <is>
          <t>MS-002</t>
        </is>
      </c>
      <c r="K21" s="56" t="inlineStr">
        <is>
          <t>No</t>
        </is>
      </c>
      <c r="L21" s="27" t="inlineStr">
        <is>
          <t>Four days late; protocol was new.</t>
        </is>
      </c>
      <c r="M21" s="54">
        <f>IF(AND(tblMilestones[[#This Row],[Due Date]]="",tblMilestones[[#This Row],[Revised Due Date]]=""),"",IF(tblMilestones[[#This Row],[Revised Due Date]]&lt;&gt;"",tblMilestones[[#This Row],[Revised Due Date]],tblMilestones[[#This Row],[Due Date]]))</f>
        <v>46416.0</v>
      </c>
      <c r="N21" s="55" t="str">
        <f>IF(tblMilestones[[#This Row],[Effective Due]]="","","Q"&amp;(INT(MOD(MONTH(tblMilestones[[#This Row],[Effective Due]])-StartMonth,12)/3)+1))</f>
        <v>Q1</v>
      </c>
      <c r="O21" s="51" t="str">
        <f>IF(OR(tblMilestones[[#This Row],[Revised Due Date]]="",tblMilestones[[#This Row],[Due Date]]=""),"",tblMilestones[[#This Row],[Revised Due Date]]-tblMilestones[[#This Row],[Due Date]])</f>
        <v/>
      </c>
      <c r="P21" s="51" t="str">
        <f>IF(OR(tblMilestones[[#This Row],[Effective Due]]="",tblMilestones[[#This Row],[Status]]="Complete"),"",tblMilestones[[#This Row],[Effective Due]]-AsOf)</f>
        <v/>
      </c>
      <c r="Q21" s="53"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Completed Late</v>
      </c>
      <c r="R21" s="53" t="str">
        <f>IF(tblMilestones[[#This Row],[Depends On]]="","",IFERROR(INDEX(tblMilestones[Status],MATCH(tblMilestones[[#This Row],[Depends On]],tblMilestones[ID],0)),"Not Found"))</f>
        <v>Complete</v>
      </c>
      <c r="S21" s="51"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22">
      <c r="A22" s="49" t="inlineStr">
        <is>
          <t>MS-017</t>
        </is>
      </c>
      <c r="B22" s="27" t="inlineStr">
        <is>
          <t>Coalition alignment with Riverton and Association of Counties</t>
        </is>
      </c>
      <c r="C22" s="49" t="inlineStr">
        <is>
          <t>OBJ-2</t>
        </is>
      </c>
      <c r="D22" s="27" t="inlineStr">
        <is>
          <t>Internal Target</t>
        </is>
      </c>
      <c r="E22" s="49" t="inlineStr">
        <is>
          <t>Jordan Pike</t>
        </is>
      </c>
      <c r="F22" s="50" t="n">
        <v>46437</v>
      </c>
      <c r="G22" s="50" t="n"/>
      <c r="H22" s="49" t="inlineStr">
        <is>
          <t>Complete</t>
        </is>
      </c>
      <c r="I22" s="50" t="n">
        <v>46435</v>
      </c>
      <c r="J22" s="49" t="inlineStr">
        <is>
          <t>MS-016</t>
        </is>
      </c>
      <c r="K22" s="56" t="inlineStr">
        <is>
          <t>No</t>
        </is>
      </c>
      <c r="L22" s="27" t="n"/>
      <c r="M22" s="54">
        <f>IF(AND(tblMilestones[[#This Row],[Due Date]]="",tblMilestones[[#This Row],[Revised Due Date]]=""),"",IF(tblMilestones[[#This Row],[Revised Due Date]]&lt;&gt;"",tblMilestones[[#This Row],[Revised Due Date]],tblMilestones[[#This Row],[Due Date]]))</f>
        <v>46437.0</v>
      </c>
      <c r="N22" s="55" t="str">
        <f>IF(tblMilestones[[#This Row],[Effective Due]]="","","Q"&amp;(INT(MOD(MONTH(tblMilestones[[#This Row],[Effective Due]])-StartMonth,12)/3)+1))</f>
        <v>Q1</v>
      </c>
      <c r="O22" s="51" t="str">
        <f>IF(OR(tblMilestones[[#This Row],[Revised Due Date]]="",tblMilestones[[#This Row],[Due Date]]=""),"",tblMilestones[[#This Row],[Revised Due Date]]-tblMilestones[[#This Row],[Due Date]])</f>
        <v/>
      </c>
      <c r="P22" s="51" t="str">
        <f>IF(OR(tblMilestones[[#This Row],[Effective Due]]="",tblMilestones[[#This Row],[Status]]="Complete"),"",tblMilestones[[#This Row],[Effective Due]]-AsOf)</f>
        <v/>
      </c>
      <c r="Q22" s="53"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Completed On Time</v>
      </c>
      <c r="R22" s="53" t="str">
        <f>IF(tblMilestones[[#This Row],[Depends On]]="","",IFERROR(INDEX(tblMilestones[Status],MATCH(tblMilestones[[#This Row],[Depends On]],tblMilestones[ID],0)),"Not Found"))</f>
        <v>Complete</v>
      </c>
      <c r="S22" s="51"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23">
      <c r="A23" s="49" t="inlineStr">
        <is>
          <t>MS-018</t>
        </is>
      </c>
      <c r="B23" s="27" t="inlineStr">
        <is>
          <t>Opt-out amendment adopted in House committee</t>
        </is>
      </c>
      <c r="C23" s="49" t="inlineStr">
        <is>
          <t>OBJ-2</t>
        </is>
      </c>
      <c r="D23" s="27" t="inlineStr">
        <is>
          <t>Fixed External Date</t>
        </is>
      </c>
      <c r="E23" s="49" t="inlineStr">
        <is>
          <t>Jordan Pike</t>
        </is>
      </c>
      <c r="F23" s="50" t="n">
        <v>46444</v>
      </c>
      <c r="G23" s="50" t="n">
        <v>46451</v>
      </c>
      <c r="H23" s="49" t="inlineStr">
        <is>
          <t>Complete</t>
        </is>
      </c>
      <c r="I23" s="50" t="n">
        <v>46450</v>
      </c>
      <c r="J23" s="49" t="inlineStr">
        <is>
          <t>MS-017</t>
        </is>
      </c>
      <c r="K23" s="56" t="inlineStr">
        <is>
          <t>Yes</t>
        </is>
      </c>
      <c r="L23" s="27" t="inlineStr">
        <is>
          <t>Committee rescheduled its markup one week.</t>
        </is>
      </c>
      <c r="M23" s="54">
        <f>IF(AND(tblMilestones[[#This Row],[Due Date]]="",tblMilestones[[#This Row],[Revised Due Date]]=""),"",IF(tblMilestones[[#This Row],[Revised Due Date]]&lt;&gt;"",tblMilestones[[#This Row],[Revised Due Date]],tblMilestones[[#This Row],[Due Date]]))</f>
        <v>46451.0</v>
      </c>
      <c r="N23" s="55" t="str">
        <f>IF(tblMilestones[[#This Row],[Effective Due]]="","","Q"&amp;(INT(MOD(MONTH(tblMilestones[[#This Row],[Effective Due]])-StartMonth,12)/3)+1))</f>
        <v>Q1</v>
      </c>
      <c r="O23" s="51">
        <f>IF(OR(tblMilestones[[#This Row],[Revised Due Date]]="",tblMilestones[[#This Row],[Due Date]]=""),"",tblMilestones[[#This Row],[Revised Due Date]]-tblMilestones[[#This Row],[Due Date]])</f>
        <v>7</v>
      </c>
      <c r="P23" s="51" t="str">
        <f>IF(OR(tblMilestones[[#This Row],[Effective Due]]="",tblMilestones[[#This Row],[Status]]="Complete"),"",tblMilestones[[#This Row],[Effective Due]]-AsOf)</f>
        <v/>
      </c>
      <c r="Q23" s="53"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Completed On Time</v>
      </c>
      <c r="R23" s="53" t="str">
        <f>IF(tblMilestones[[#This Row],[Depends On]]="","",IFERROR(INDEX(tblMilestones[Status],MATCH(tblMilestones[[#This Row],[Depends On]],tblMilestones[ID],0)),"Not Found"))</f>
        <v>Complete</v>
      </c>
      <c r="S23" s="51"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24">
      <c r="A24" s="49" t="inlineStr">
        <is>
          <t>MS-019</t>
        </is>
      </c>
      <c r="B24" s="27" t="inlineStr">
        <is>
          <t>Opt-out language retained in Senate committee</t>
        </is>
      </c>
      <c r="C24" s="49" t="inlineStr">
        <is>
          <t>OBJ-2</t>
        </is>
      </c>
      <c r="D24" s="27" t="inlineStr">
        <is>
          <t>Fixed External Date</t>
        </is>
      </c>
      <c r="E24" s="49" t="inlineStr">
        <is>
          <t>Jordan Pike</t>
        </is>
      </c>
      <c r="F24" s="50" t="n">
        <v>46493</v>
      </c>
      <c r="G24" s="50" t="n"/>
      <c r="H24" s="49" t="inlineStr">
        <is>
          <t>In Progress</t>
        </is>
      </c>
      <c r="I24" s="50" t="n"/>
      <c r="J24" s="49" t="inlineStr">
        <is>
          <t>MS-018</t>
        </is>
      </c>
      <c r="K24" s="56" t="inlineStr">
        <is>
          <t>Yes</t>
        </is>
      </c>
      <c r="L24" s="27" t="inlineStr">
        <is>
          <t>Sponsor intends to seek removal.</t>
        </is>
      </c>
      <c r="M24" s="54">
        <f>IF(AND(tblMilestones[[#This Row],[Due Date]]="",tblMilestones[[#This Row],[Revised Due Date]]=""),"",IF(tblMilestones[[#This Row],[Revised Due Date]]&lt;&gt;"",tblMilestones[[#This Row],[Revised Due Date]],tblMilestones[[#This Row],[Due Date]]))</f>
        <v>46493.0</v>
      </c>
      <c r="N24" s="55" t="str">
        <f>IF(tblMilestones[[#This Row],[Effective Due]]="","","Q"&amp;(INT(MOD(MONTH(tblMilestones[[#This Row],[Effective Due]])-StartMonth,12)/3)+1))</f>
        <v>Q2</v>
      </c>
      <c r="O24" s="51" t="str">
        <f>IF(OR(tblMilestones[[#This Row],[Revised Due Date]]="",tblMilestones[[#This Row],[Due Date]]=""),"",tblMilestones[[#This Row],[Revised Due Date]]-tblMilestones[[#This Row],[Due Date]])</f>
        <v/>
      </c>
      <c r="P24" s="51">
        <f>IF(OR(tblMilestones[[#This Row],[Effective Due]]="",tblMilestones[[#This Row],[Status]]="Complete"),"",tblMilestones[[#This Row],[Effective Due]]-AsOf)</f>
        <v>8</v>
      </c>
      <c r="Q24" s="53"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Due Within 14 Days</v>
      </c>
      <c r="R24" s="53" t="str">
        <f>IF(tblMilestones[[#This Row],[Depends On]]="","",IFERROR(INDEX(tblMilestones[Status],MATCH(tblMilestones[[#This Row],[Depends On]],tblMilestones[ID],0)),"Not Found"))</f>
        <v>Complete</v>
      </c>
      <c r="S24" s="51">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3</v>
      </c>
    </row>
    <row r="25">
      <c r="A25" s="49" t="inlineStr">
        <is>
          <t>MS-020</t>
        </is>
      </c>
      <c r="B25" s="27" t="inlineStr">
        <is>
          <t>County Executive go decision on federal application</t>
        </is>
      </c>
      <c r="C25" s="49" t="inlineStr">
        <is>
          <t>OBJ-3</t>
        </is>
      </c>
      <c r="D25" s="27" t="inlineStr">
        <is>
          <t>Decision Point</t>
        </is>
      </c>
      <c r="E25" s="49" t="inlineStr">
        <is>
          <t>Samuel Ortega</t>
        </is>
      </c>
      <c r="F25" s="50" t="n">
        <v>46444</v>
      </c>
      <c r="G25" s="50" t="n"/>
      <c r="H25" s="49" t="inlineStr">
        <is>
          <t>Complete</t>
        </is>
      </c>
      <c r="I25" s="50" t="n">
        <v>46443</v>
      </c>
      <c r="J25" s="49" t="n"/>
      <c r="K25" s="56" t="inlineStr">
        <is>
          <t>Yes</t>
        </is>
      </c>
      <c r="L25" s="27" t="inlineStr">
        <is>
          <t>Conditioned on a match plan.</t>
        </is>
      </c>
      <c r="M25" s="54">
        <f>IF(AND(tblMilestones[[#This Row],[Due Date]]="",tblMilestones[[#This Row],[Revised Due Date]]=""),"",IF(tblMilestones[[#This Row],[Revised Due Date]]&lt;&gt;"",tblMilestones[[#This Row],[Revised Due Date]],tblMilestones[[#This Row],[Due Date]]))</f>
        <v>46444.0</v>
      </c>
      <c r="N25" s="55" t="str">
        <f>IF(tblMilestones[[#This Row],[Effective Due]]="","","Q"&amp;(INT(MOD(MONTH(tblMilestones[[#This Row],[Effective Due]])-StartMonth,12)/3)+1))</f>
        <v>Q1</v>
      </c>
      <c r="O25" s="51" t="str">
        <f>IF(OR(tblMilestones[[#This Row],[Revised Due Date]]="",tblMilestones[[#This Row],[Due Date]]=""),"",tblMilestones[[#This Row],[Revised Due Date]]-tblMilestones[[#This Row],[Due Date]])</f>
        <v/>
      </c>
      <c r="P25" s="51" t="str">
        <f>IF(OR(tblMilestones[[#This Row],[Effective Due]]="",tblMilestones[[#This Row],[Status]]="Complete"),"",tblMilestones[[#This Row],[Effective Due]]-AsOf)</f>
        <v/>
      </c>
      <c r="Q25" s="53"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Completed On Time</v>
      </c>
      <c r="R25" s="53" t="str">
        <f>IF(tblMilestones[[#This Row],[Depends On]]="","",IFERROR(INDEX(tblMilestones[Status],MATCH(tblMilestones[[#This Row],[Depends On]],tblMilestones[ID],0)),"Not Found"))</f>
        <v/>
      </c>
      <c r="S25" s="51"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26">
      <c r="A26" s="49" t="inlineStr">
        <is>
          <t>MS-021</t>
        </is>
      </c>
      <c r="B26" s="27" t="inlineStr">
        <is>
          <t>Pre-application meeting with federal regional office</t>
        </is>
      </c>
      <c r="C26" s="49" t="inlineStr">
        <is>
          <t>OBJ-3</t>
        </is>
      </c>
      <c r="D26" s="27" t="inlineStr">
        <is>
          <t>Internal Target</t>
        </is>
      </c>
      <c r="E26" s="49" t="inlineStr">
        <is>
          <t>Samuel Ortega</t>
        </is>
      </c>
      <c r="F26" s="50" t="n">
        <v>46472</v>
      </c>
      <c r="G26" s="50" t="n"/>
      <c r="H26" s="49" t="inlineStr">
        <is>
          <t>Complete</t>
        </is>
      </c>
      <c r="I26" s="50" t="n">
        <v>46470</v>
      </c>
      <c r="J26" s="49" t="inlineStr">
        <is>
          <t>MS-020</t>
        </is>
      </c>
      <c r="K26" s="56" t="inlineStr">
        <is>
          <t>No</t>
        </is>
      </c>
      <c r="L26" s="27" t="n"/>
      <c r="M26" s="54">
        <f>IF(AND(tblMilestones[[#This Row],[Due Date]]="",tblMilestones[[#This Row],[Revised Due Date]]=""),"",IF(tblMilestones[[#This Row],[Revised Due Date]]&lt;&gt;"",tblMilestones[[#This Row],[Revised Due Date]],tblMilestones[[#This Row],[Due Date]]))</f>
        <v>46472.0</v>
      </c>
      <c r="N26" s="55" t="str">
        <f>IF(tblMilestones[[#This Row],[Effective Due]]="","","Q"&amp;(INT(MOD(MONTH(tblMilestones[[#This Row],[Effective Due]])-StartMonth,12)/3)+1))</f>
        <v>Q1</v>
      </c>
      <c r="O26" s="51" t="str">
        <f>IF(OR(tblMilestones[[#This Row],[Revised Due Date]]="",tblMilestones[[#This Row],[Due Date]]=""),"",tblMilestones[[#This Row],[Revised Due Date]]-tblMilestones[[#This Row],[Due Date]])</f>
        <v/>
      </c>
      <c r="P26" s="51" t="str">
        <f>IF(OR(tblMilestones[[#This Row],[Effective Due]]="",tblMilestones[[#This Row],[Status]]="Complete"),"",tblMilestones[[#This Row],[Effective Due]]-AsOf)</f>
        <v/>
      </c>
      <c r="Q26" s="53"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Completed On Time</v>
      </c>
      <c r="R26" s="53" t="str">
        <f>IF(tblMilestones[[#This Row],[Depends On]]="","",IFERROR(INDEX(tblMilestones[Status],MATCH(tblMilestones[[#This Row],[Depends On]],tblMilestones[ID],0)),"Not Found"))</f>
        <v>Complete</v>
      </c>
      <c r="S26" s="51"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27">
      <c r="A27" s="49" t="inlineStr">
        <is>
          <t>MS-022</t>
        </is>
      </c>
      <c r="B27" s="27" t="inlineStr">
        <is>
          <t>Delegation support letters requested</t>
        </is>
      </c>
      <c r="C27" s="49" t="inlineStr">
        <is>
          <t>OBJ-3</t>
        </is>
      </c>
      <c r="D27" s="27" t="inlineStr">
        <is>
          <t>Internal Target</t>
        </is>
      </c>
      <c r="E27" s="49" t="inlineStr">
        <is>
          <t>Samuel Ortega</t>
        </is>
      </c>
      <c r="F27" s="50" t="n">
        <v>46521</v>
      </c>
      <c r="G27" s="50" t="n"/>
      <c r="H27" s="49" t="inlineStr">
        <is>
          <t>Not Started</t>
        </is>
      </c>
      <c r="I27" s="50" t="n"/>
      <c r="J27" s="49" t="inlineStr">
        <is>
          <t>MS-023</t>
        </is>
      </c>
      <c r="K27" s="56" t="inlineStr">
        <is>
          <t>No</t>
        </is>
      </c>
      <c r="L27" s="27" t="inlineStr">
        <is>
          <t>Request follows Harlan coordination.</t>
        </is>
      </c>
      <c r="M27" s="54">
        <f>IF(AND(tblMilestones[[#This Row],[Due Date]]="",tblMilestones[[#This Row],[Revised Due Date]]=""),"",IF(tblMilestones[[#This Row],[Revised Due Date]]&lt;&gt;"",tblMilestones[[#This Row],[Revised Due Date]],tblMilestones[[#This Row],[Due Date]]))</f>
        <v>46521.0</v>
      </c>
      <c r="N27" s="55" t="str">
        <f>IF(tblMilestones[[#This Row],[Effective Due]]="","","Q"&amp;(INT(MOD(MONTH(tblMilestones[[#This Row],[Effective Due]])-StartMonth,12)/3)+1))</f>
        <v>Q2</v>
      </c>
      <c r="O27" s="51" t="str">
        <f>IF(OR(tblMilestones[[#This Row],[Revised Due Date]]="",tblMilestones[[#This Row],[Due Date]]=""),"",tblMilestones[[#This Row],[Revised Due Date]]-tblMilestones[[#This Row],[Due Date]])</f>
        <v/>
      </c>
      <c r="P27" s="51">
        <f>IF(OR(tblMilestones[[#This Row],[Effective Due]]="",tblMilestones[[#This Row],[Status]]="Complete"),"",tblMilestones[[#This Row],[Effective Due]]-AsOf)</f>
        <v>36</v>
      </c>
      <c r="Q27" s="53"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On Schedule</v>
      </c>
      <c r="R27" s="53" t="str">
        <f>IF(tblMilestones[[#This Row],[Depends On]]="","",IFERROR(INDEX(tblMilestones[Status],MATCH(tblMilestones[[#This Row],[Depends On]],tblMilestones[ID],0)),"Not Found"))</f>
        <v>In Progress</v>
      </c>
      <c r="S27" s="51">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6</v>
      </c>
    </row>
    <row r="28">
      <c r="A28" s="49" t="inlineStr">
        <is>
          <t>MS-023</t>
        </is>
      </c>
      <c r="B28" s="27" t="inlineStr">
        <is>
          <t>Overlap with Harlan County application resolved</t>
        </is>
      </c>
      <c r="C28" s="49" t="inlineStr">
        <is>
          <t>OBJ-3</t>
        </is>
      </c>
      <c r="D28" s="27" t="inlineStr">
        <is>
          <t>Internal Target</t>
        </is>
      </c>
      <c r="E28" s="49" t="inlineStr">
        <is>
          <t>Alicia Brandt</t>
        </is>
      </c>
      <c r="F28" s="50" t="n">
        <v>46535</v>
      </c>
      <c r="G28" s="50" t="n"/>
      <c r="H28" s="49" t="inlineStr">
        <is>
          <t>In Progress</t>
        </is>
      </c>
      <c r="I28" s="50" t="n"/>
      <c r="J28" s="49" t="n"/>
      <c r="K28" s="56" t="inlineStr">
        <is>
          <t>Yes</t>
        </is>
      </c>
      <c r="L28" s="27" t="inlineStr">
        <is>
          <t>Meeting set Apr 20.</t>
        </is>
      </c>
      <c r="M28" s="54">
        <f>IF(AND(tblMilestones[[#This Row],[Due Date]]="",tblMilestones[[#This Row],[Revised Due Date]]=""),"",IF(tblMilestones[[#This Row],[Revised Due Date]]&lt;&gt;"",tblMilestones[[#This Row],[Revised Due Date]],tblMilestones[[#This Row],[Due Date]]))</f>
        <v>46535.0</v>
      </c>
      <c r="N28" s="55" t="str">
        <f>IF(tblMilestones[[#This Row],[Effective Due]]="","","Q"&amp;(INT(MOD(MONTH(tblMilestones[[#This Row],[Effective Due]])-StartMonth,12)/3)+1))</f>
        <v>Q2</v>
      </c>
      <c r="O28" s="51" t="str">
        <f>IF(OR(tblMilestones[[#This Row],[Revised Due Date]]="",tblMilestones[[#This Row],[Due Date]]=""),"",tblMilestones[[#This Row],[Revised Due Date]]-tblMilestones[[#This Row],[Due Date]])</f>
        <v/>
      </c>
      <c r="P28" s="51">
        <f>IF(OR(tblMilestones[[#This Row],[Effective Due]]="",tblMilestones[[#This Row],[Status]]="Complete"),"",tblMilestones[[#This Row],[Effective Due]]-AsOf)</f>
        <v>50</v>
      </c>
      <c r="Q28" s="53"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On Schedule</v>
      </c>
      <c r="R28" s="53" t="str">
        <f>IF(tblMilestones[[#This Row],[Depends On]]="","",IFERROR(INDEX(tblMilestones[Status],MATCH(tblMilestones[[#This Row],[Depends On]],tblMilestones[ID],0)),"Not Found"))</f>
        <v/>
      </c>
      <c r="S28" s="51">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10</v>
      </c>
    </row>
    <row r="29">
      <c r="A29" s="49" t="inlineStr">
        <is>
          <t>MS-024</t>
        </is>
      </c>
      <c r="B29" s="27" t="inlineStr">
        <is>
          <t>Written match commitment from State DOT</t>
        </is>
      </c>
      <c r="C29" s="49" t="inlineStr">
        <is>
          <t>OBJ-3</t>
        </is>
      </c>
      <c r="D29" s="27" t="inlineStr">
        <is>
          <t>Internal Target</t>
        </is>
      </c>
      <c r="E29" s="49" t="inlineStr">
        <is>
          <t>Samuel Ortega</t>
        </is>
      </c>
      <c r="F29" s="50" t="n">
        <v>46598</v>
      </c>
      <c r="G29" s="50" t="n"/>
      <c r="H29" s="49" t="inlineStr">
        <is>
          <t>Not Started</t>
        </is>
      </c>
      <c r="I29" s="50" t="n"/>
      <c r="J29" s="49" t="inlineStr">
        <is>
          <t>MS-028</t>
        </is>
      </c>
      <c r="K29" s="56" t="inlineStr">
        <is>
          <t>Yes</t>
        </is>
      </c>
      <c r="L29" s="27" t="inlineStr">
        <is>
          <t>State DOT requires an executed local agreement.</t>
        </is>
      </c>
      <c r="M29" s="54">
        <f>IF(AND(tblMilestones[[#This Row],[Due Date]]="",tblMilestones[[#This Row],[Revised Due Date]]=""),"",IF(tblMilestones[[#This Row],[Revised Due Date]]&lt;&gt;"",tblMilestones[[#This Row],[Revised Due Date]],tblMilestones[[#This Row],[Due Date]]))</f>
        <v>46598.0</v>
      </c>
      <c r="N29" s="55" t="str">
        <f>IF(tblMilestones[[#This Row],[Effective Due]]="","","Q"&amp;(INT(MOD(MONTH(tblMilestones[[#This Row],[Effective Due]])-StartMonth,12)/3)+1))</f>
        <v>Q3</v>
      </c>
      <c r="O29" s="51" t="str">
        <f>IF(OR(tblMilestones[[#This Row],[Revised Due Date]]="",tblMilestones[[#This Row],[Due Date]]=""),"",tblMilestones[[#This Row],[Revised Due Date]]-tblMilestones[[#This Row],[Due Date]])</f>
        <v/>
      </c>
      <c r="P29" s="51">
        <f>IF(OR(tblMilestones[[#This Row],[Effective Due]]="",tblMilestones[[#This Row],[Status]]="Complete"),"",tblMilestones[[#This Row],[Effective Due]]-AsOf)</f>
        <v>113</v>
      </c>
      <c r="Q29" s="53"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On Schedule</v>
      </c>
      <c r="R29" s="53" t="str">
        <f>IF(tblMilestones[[#This Row],[Depends On]]="","",IFERROR(INDEX(tblMilestones[Status],MATCH(tblMilestones[[#This Row],[Depends On]],tblMilestones[ID],0)),"Not Found"))</f>
        <v>Not Started</v>
      </c>
      <c r="S29" s="51">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18</v>
      </c>
    </row>
    <row r="30">
      <c r="A30" s="49" t="inlineStr">
        <is>
          <t>MS-025</t>
        </is>
      </c>
      <c r="B30" s="27" t="inlineStr">
        <is>
          <t>Federal funding notice published</t>
        </is>
      </c>
      <c r="C30" s="49" t="inlineStr">
        <is>
          <t>OBJ-3</t>
        </is>
      </c>
      <c r="D30" s="27" t="inlineStr">
        <is>
          <t>Assumed External Date</t>
        </is>
      </c>
      <c r="E30" s="49" t="inlineStr">
        <is>
          <t>Samuel Ortega</t>
        </is>
      </c>
      <c r="F30" s="50" t="n">
        <v>46553</v>
      </c>
      <c r="G30" s="50" t="n"/>
      <c r="H30" s="49" t="inlineStr">
        <is>
          <t>Not Started</t>
        </is>
      </c>
      <c r="I30" s="50" t="n"/>
      <c r="J30" s="49" t="n"/>
      <c r="K30" s="56" t="inlineStr">
        <is>
          <t>Yes</t>
        </is>
      </c>
      <c r="L30" s="27" t="inlineStr">
        <is>
          <t>Assumption. Agency has not confirmed.</t>
        </is>
      </c>
      <c r="M30" s="54">
        <f>IF(AND(tblMilestones[[#This Row],[Due Date]]="",tblMilestones[[#This Row],[Revised Due Date]]=""),"",IF(tblMilestones[[#This Row],[Revised Due Date]]&lt;&gt;"",tblMilestones[[#This Row],[Revised Due Date]],tblMilestones[[#This Row],[Due Date]]))</f>
        <v>46553.0</v>
      </c>
      <c r="N30" s="55" t="str">
        <f>IF(tblMilestones[[#This Row],[Effective Due]]="","","Q"&amp;(INT(MOD(MONTH(tblMilestones[[#This Row],[Effective Due]])-StartMonth,12)/3)+1))</f>
        <v>Q2</v>
      </c>
      <c r="O30" s="51" t="str">
        <f>IF(OR(tblMilestones[[#This Row],[Revised Due Date]]="",tblMilestones[[#This Row],[Due Date]]=""),"",tblMilestones[[#This Row],[Revised Due Date]]-tblMilestones[[#This Row],[Due Date]])</f>
        <v/>
      </c>
      <c r="P30" s="51">
        <f>IF(OR(tblMilestones[[#This Row],[Effective Due]]="",tblMilestones[[#This Row],[Status]]="Complete"),"",tblMilestones[[#This Row],[Effective Due]]-AsOf)</f>
        <v>68</v>
      </c>
      <c r="Q30" s="53"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On Schedule</v>
      </c>
      <c r="R30" s="53" t="str">
        <f>IF(tblMilestones[[#This Row],[Depends On]]="","",IFERROR(INDEX(tblMilestones[Status],MATCH(tblMilestones[[#This Row],[Depends On]],tblMilestones[ID],0)),"Not Found"))</f>
        <v/>
      </c>
      <c r="S30" s="51">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13</v>
      </c>
    </row>
    <row r="31">
      <c r="A31" s="49" t="inlineStr">
        <is>
          <t>MS-026</t>
        </is>
      </c>
      <c r="B31" s="27" t="inlineStr">
        <is>
          <t>Application submitted</t>
        </is>
      </c>
      <c r="C31" s="49" t="inlineStr">
        <is>
          <t>OBJ-3</t>
        </is>
      </c>
      <c r="D31" s="27" t="inlineStr">
        <is>
          <t>Assumed External Date</t>
        </is>
      </c>
      <c r="E31" s="49" t="inlineStr">
        <is>
          <t>Samuel Ortega</t>
        </is>
      </c>
      <c r="F31" s="50" t="n">
        <v>46660</v>
      </c>
      <c r="G31" s="50" t="n"/>
      <c r="H31" s="49" t="inlineStr">
        <is>
          <t>Not Started</t>
        </is>
      </c>
      <c r="I31" s="50" t="n"/>
      <c r="J31" s="49" t="inlineStr">
        <is>
          <t>MS-024</t>
        </is>
      </c>
      <c r="K31" s="56" t="inlineStr">
        <is>
          <t>Yes</t>
        </is>
      </c>
      <c r="L31" s="27" t="inlineStr">
        <is>
          <t>Deadline assumed pending notice.</t>
        </is>
      </c>
      <c r="M31" s="54">
        <f>IF(AND(tblMilestones[[#This Row],[Due Date]]="",tblMilestones[[#This Row],[Revised Due Date]]=""),"",IF(tblMilestones[[#This Row],[Revised Due Date]]&lt;&gt;"",tblMilestones[[#This Row],[Revised Due Date]],tblMilestones[[#This Row],[Due Date]]))</f>
        <v>46660.0</v>
      </c>
      <c r="N31" s="55" t="str">
        <f>IF(tblMilestones[[#This Row],[Effective Due]]="","","Q"&amp;(INT(MOD(MONTH(tblMilestones[[#This Row],[Effective Due]])-StartMonth,12)/3)+1))</f>
        <v>Q3</v>
      </c>
      <c r="O31" s="51" t="str">
        <f>IF(OR(tblMilestones[[#This Row],[Revised Due Date]]="",tblMilestones[[#This Row],[Due Date]]=""),"",tblMilestones[[#This Row],[Revised Due Date]]-tblMilestones[[#This Row],[Due Date]])</f>
        <v/>
      </c>
      <c r="P31" s="51">
        <f>IF(OR(tblMilestones[[#This Row],[Effective Due]]="",tblMilestones[[#This Row],[Status]]="Complete"),"",tblMilestones[[#This Row],[Effective Due]]-AsOf)</f>
        <v>175</v>
      </c>
      <c r="Q31" s="53"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On Schedule</v>
      </c>
      <c r="R31" s="53" t="str">
        <f>IF(tblMilestones[[#This Row],[Depends On]]="","",IFERROR(INDEX(tblMilestones[Status],MATCH(tblMilestones[[#This Row],[Depends On]],tblMilestones[ID],0)),"Not Found"))</f>
        <v>Not Started</v>
      </c>
      <c r="S31" s="51">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22</v>
      </c>
    </row>
    <row r="32">
      <c r="A32" s="49" t="inlineStr">
        <is>
          <t>MS-027</t>
        </is>
      </c>
      <c r="B32" s="27" t="inlineStr">
        <is>
          <t>Term sheet agreed among County, Riverton, and Transit Authority staff</t>
        </is>
      </c>
      <c r="C32" s="49" t="inlineStr">
        <is>
          <t>OBJ-4</t>
        </is>
      </c>
      <c r="D32" s="27" t="inlineStr">
        <is>
          <t>Internal Target</t>
        </is>
      </c>
      <c r="E32" s="49" t="inlineStr">
        <is>
          <t>Alicia Brandt</t>
        </is>
      </c>
      <c r="F32" s="50" t="n">
        <v>46507</v>
      </c>
      <c r="G32" s="50" t="n">
        <v>46521</v>
      </c>
      <c r="H32" s="49" t="inlineStr">
        <is>
          <t>Delayed</t>
        </is>
      </c>
      <c r="I32" s="50" t="n"/>
      <c r="J32" s="49" t="n"/>
      <c r="K32" s="56" t="inlineStr">
        <is>
          <t>Yes</t>
        </is>
      </c>
      <c r="L32" s="27" t="inlineStr">
        <is>
          <t>Riverton asked for two weeks after the Apr 1 proposal.</t>
        </is>
      </c>
      <c r="M32" s="54">
        <f>IF(AND(tblMilestones[[#This Row],[Due Date]]="",tblMilestones[[#This Row],[Revised Due Date]]=""),"",IF(tblMilestones[[#This Row],[Revised Due Date]]&lt;&gt;"",tblMilestones[[#This Row],[Revised Due Date]],tblMilestones[[#This Row],[Due Date]]))</f>
        <v>46521.0</v>
      </c>
      <c r="N32" s="55" t="str">
        <f>IF(tblMilestones[[#This Row],[Effective Due]]="","","Q"&amp;(INT(MOD(MONTH(tblMilestones[[#This Row],[Effective Due]])-StartMonth,12)/3)+1))</f>
        <v>Q2</v>
      </c>
      <c r="O32" s="51">
        <f>IF(OR(tblMilestones[[#This Row],[Revised Due Date]]="",tblMilestones[[#This Row],[Due Date]]=""),"",tblMilestones[[#This Row],[Revised Due Date]]-tblMilestones[[#This Row],[Due Date]])</f>
        <v>14</v>
      </c>
      <c r="P32" s="51">
        <f>IF(OR(tblMilestones[[#This Row],[Effective Due]]="",tblMilestones[[#This Row],[Status]]="Complete"),"",tblMilestones[[#This Row],[Effective Due]]-AsOf)</f>
        <v>36</v>
      </c>
      <c r="Q32" s="53"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On Schedule</v>
      </c>
      <c r="R32" s="53" t="str">
        <f>IF(tblMilestones[[#This Row],[Depends On]]="","",IFERROR(INDEX(tblMilestones[Status],MATCH(tblMilestones[[#This Row],[Depends On]],tblMilestones[ID],0)),"Not Found"))</f>
        <v/>
      </c>
      <c r="S32" s="51">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7</v>
      </c>
    </row>
    <row r="33">
      <c r="A33" s="49" t="inlineStr">
        <is>
          <t>MS-028</t>
        </is>
      </c>
      <c r="B33" s="27" t="inlineStr">
        <is>
          <t>Draft agreement sent to partner counsels</t>
        </is>
      </c>
      <c r="C33" s="49" t="inlineStr">
        <is>
          <t>OBJ-4</t>
        </is>
      </c>
      <c r="D33" s="27" t="inlineStr">
        <is>
          <t>Internal Target</t>
        </is>
      </c>
      <c r="E33" s="49" t="inlineStr">
        <is>
          <t>Owen Reyes</t>
        </is>
      </c>
      <c r="F33" s="50" t="n">
        <v>46549</v>
      </c>
      <c r="G33" s="50" t="n"/>
      <c r="H33" s="49" t="inlineStr">
        <is>
          <t>Not Started</t>
        </is>
      </c>
      <c r="I33" s="50" t="n"/>
      <c r="J33" s="49" t="inlineStr">
        <is>
          <t>MS-027</t>
        </is>
      </c>
      <c r="K33" s="56" t="inlineStr">
        <is>
          <t>Yes</t>
        </is>
      </c>
      <c r="L33" s="27" t="n"/>
      <c r="M33" s="54">
        <f>IF(AND(tblMilestones[[#This Row],[Due Date]]="",tblMilestones[[#This Row],[Revised Due Date]]=""),"",IF(tblMilestones[[#This Row],[Revised Due Date]]&lt;&gt;"",tblMilestones[[#This Row],[Revised Due Date]],tblMilestones[[#This Row],[Due Date]]))</f>
        <v>46549.0</v>
      </c>
      <c r="N33" s="55" t="str">
        <f>IF(tblMilestones[[#This Row],[Effective Due]]="","","Q"&amp;(INT(MOD(MONTH(tblMilestones[[#This Row],[Effective Due]])-StartMonth,12)/3)+1))</f>
        <v>Q2</v>
      </c>
      <c r="O33" s="51" t="str">
        <f>IF(OR(tblMilestones[[#This Row],[Revised Due Date]]="",tblMilestones[[#This Row],[Due Date]]=""),"",tblMilestones[[#This Row],[Revised Due Date]]-tblMilestones[[#This Row],[Due Date]])</f>
        <v/>
      </c>
      <c r="P33" s="51">
        <f>IF(OR(tblMilestones[[#This Row],[Effective Due]]="",tblMilestones[[#This Row],[Status]]="Complete"),"",tblMilestones[[#This Row],[Effective Due]]-AsOf)</f>
        <v>64</v>
      </c>
      <c r="Q33" s="53"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On Schedule</v>
      </c>
      <c r="R33" s="53" t="str">
        <f>IF(tblMilestones[[#This Row],[Depends On]]="","",IFERROR(INDEX(tblMilestones[Status],MATCH(tblMilestones[[#This Row],[Depends On]],tblMilestones[ID],0)),"Not Found"))</f>
        <v>Delayed</v>
      </c>
      <c r="S33" s="51">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12</v>
      </c>
    </row>
    <row r="34">
      <c r="A34" s="49" t="inlineStr">
        <is>
          <t>MS-029</t>
        </is>
      </c>
      <c r="B34" s="27" t="inlineStr">
        <is>
          <t>Governing bodies approve agreement</t>
        </is>
      </c>
      <c r="C34" s="49" t="inlineStr">
        <is>
          <t>OBJ-4</t>
        </is>
      </c>
      <c r="D34" s="27" t="inlineStr">
        <is>
          <t>Fixed External Date</t>
        </is>
      </c>
      <c r="E34" s="49" t="inlineStr">
        <is>
          <t>Alicia Brandt</t>
        </is>
      </c>
      <c r="F34" s="50" t="n">
        <v>46616</v>
      </c>
      <c r="G34" s="50" t="n"/>
      <c r="H34" s="49" t="inlineStr">
        <is>
          <t>Not Started</t>
        </is>
      </c>
      <c r="I34" s="50" t="n"/>
      <c r="J34" s="49" t="inlineStr">
        <is>
          <t>MS-028</t>
        </is>
      </c>
      <c r="K34" s="56" t="inlineStr">
        <is>
          <t>Yes</t>
        </is>
      </c>
      <c r="L34" s="27" t="inlineStr">
        <is>
          <t>Board, City Council, and Transit board each act on their own calendars.</t>
        </is>
      </c>
      <c r="M34" s="54">
        <f>IF(AND(tblMilestones[[#This Row],[Due Date]]="",tblMilestones[[#This Row],[Revised Due Date]]=""),"",IF(tblMilestones[[#This Row],[Revised Due Date]]&lt;&gt;"",tblMilestones[[#This Row],[Revised Due Date]],tblMilestones[[#This Row],[Due Date]]))</f>
        <v>46616.0</v>
      </c>
      <c r="N34" s="55" t="str">
        <f>IF(tblMilestones[[#This Row],[Effective Due]]="","","Q"&amp;(INT(MOD(MONTH(tblMilestones[[#This Row],[Effective Due]])-StartMonth,12)/3)+1))</f>
        <v>Q3</v>
      </c>
      <c r="O34" s="51" t="str">
        <f>IF(OR(tblMilestones[[#This Row],[Revised Due Date]]="",tblMilestones[[#This Row],[Due Date]]=""),"",tblMilestones[[#This Row],[Revised Due Date]]-tblMilestones[[#This Row],[Due Date]])</f>
        <v/>
      </c>
      <c r="P34" s="51">
        <f>IF(OR(tblMilestones[[#This Row],[Effective Due]]="",tblMilestones[[#This Row],[Status]]="Complete"),"",tblMilestones[[#This Row],[Effective Due]]-AsOf)</f>
        <v>131</v>
      </c>
      <c r="Q34" s="53"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On Schedule</v>
      </c>
      <c r="R34" s="53" t="str">
        <f>IF(tblMilestones[[#This Row],[Depends On]]="","",IFERROR(INDEX(tblMilestones[Status],MATCH(tblMilestones[[#This Row],[Depends On]],tblMilestones[ID],0)),"Not Found"))</f>
        <v>Not Started</v>
      </c>
      <c r="S34" s="51">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20</v>
      </c>
    </row>
    <row r="35">
      <c r="A35" s="49" t="inlineStr">
        <is>
          <t>MS-030</t>
        </is>
      </c>
      <c r="B35" s="27" t="inlineStr">
        <is>
          <t>Agreement executed by all parties</t>
        </is>
      </c>
      <c r="C35" s="49" t="inlineStr">
        <is>
          <t>OBJ-4</t>
        </is>
      </c>
      <c r="D35" s="27" t="inlineStr">
        <is>
          <t>Internal Target</t>
        </is>
      </c>
      <c r="E35" s="49" t="inlineStr">
        <is>
          <t>Alicia Brandt</t>
        </is>
      </c>
      <c r="F35" s="50" t="n">
        <v>46630</v>
      </c>
      <c r="G35" s="50" t="n"/>
      <c r="H35" s="49" t="inlineStr">
        <is>
          <t>Not Started</t>
        </is>
      </c>
      <c r="I35" s="50" t="n"/>
      <c r="J35" s="49" t="inlineStr">
        <is>
          <t>MS-029</t>
        </is>
      </c>
      <c r="K35" s="56" t="inlineStr">
        <is>
          <t>Yes</t>
        </is>
      </c>
      <c r="L35" s="27" t="n"/>
      <c r="M35" s="54">
        <f>IF(AND(tblMilestones[[#This Row],[Due Date]]="",tblMilestones[[#This Row],[Revised Due Date]]=""),"",IF(tblMilestones[[#This Row],[Revised Due Date]]&lt;&gt;"",tblMilestones[[#This Row],[Revised Due Date]],tblMilestones[[#This Row],[Due Date]]))</f>
        <v>46630.0</v>
      </c>
      <c r="N35" s="55" t="str">
        <f>IF(tblMilestones[[#This Row],[Effective Due]]="","","Q"&amp;(INT(MOD(MONTH(tblMilestones[[#This Row],[Effective Due]])-StartMonth,12)/3)+1))</f>
        <v>Q3</v>
      </c>
      <c r="O35" s="51" t="str">
        <f>IF(OR(tblMilestones[[#This Row],[Revised Due Date]]="",tblMilestones[[#This Row],[Due Date]]=""),"",tblMilestones[[#This Row],[Revised Due Date]]-tblMilestones[[#This Row],[Due Date]])</f>
        <v/>
      </c>
      <c r="P35" s="51">
        <f>IF(OR(tblMilestones[[#This Row],[Effective Due]]="",tblMilestones[[#This Row],[Status]]="Complete"),"",tblMilestones[[#This Row],[Effective Due]]-AsOf)</f>
        <v>145</v>
      </c>
      <c r="Q35" s="53"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On Schedule</v>
      </c>
      <c r="R35" s="53" t="str">
        <f>IF(tblMilestones[[#This Row],[Depends On]]="","",IFERROR(INDEX(tblMilestones[Status],MATCH(tblMilestones[[#This Row],[Depends On]],tblMilestones[ID],0)),"Not Found"))</f>
        <v>Not Started</v>
      </c>
      <c r="S35" s="51">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21</v>
      </c>
    </row>
    <row r="36">
      <c r="A36" s="49" t="inlineStr">
        <is>
          <t>MS-031</t>
        </is>
      </c>
      <c r="B36" s="27" t="inlineStr">
        <is>
          <t>Staff introduction with Three Fords Cultural Resources Department</t>
        </is>
      </c>
      <c r="C36" s="49" t="inlineStr">
        <is>
          <t>OBJ-5</t>
        </is>
      </c>
      <c r="D36" s="27" t="inlineStr">
        <is>
          <t>Internal Target</t>
        </is>
      </c>
      <c r="E36" s="49" t="inlineStr">
        <is>
          <t>Elena Marsh</t>
        </is>
      </c>
      <c r="F36" s="50" t="n">
        <v>46430</v>
      </c>
      <c r="G36" s="50" t="n"/>
      <c r="H36" s="49" t="inlineStr">
        <is>
          <t>Complete</t>
        </is>
      </c>
      <c r="I36" s="50" t="n">
        <v>46428</v>
      </c>
      <c r="J36" s="49" t="n"/>
      <c r="K36" s="56" t="inlineStr">
        <is>
          <t>No</t>
        </is>
      </c>
      <c r="L36" s="27" t="n"/>
      <c r="M36" s="54">
        <f>IF(AND(tblMilestones[[#This Row],[Due Date]]="",tblMilestones[[#This Row],[Revised Due Date]]=""),"",IF(tblMilestones[[#This Row],[Revised Due Date]]&lt;&gt;"",tblMilestones[[#This Row],[Revised Due Date]],tblMilestones[[#This Row],[Due Date]]))</f>
        <v>46430.0</v>
      </c>
      <c r="N36" s="55" t="str">
        <f>IF(tblMilestones[[#This Row],[Effective Due]]="","","Q"&amp;(INT(MOD(MONTH(tblMilestones[[#This Row],[Effective Due]])-StartMonth,12)/3)+1))</f>
        <v>Q1</v>
      </c>
      <c r="O36" s="51" t="str">
        <f>IF(OR(tblMilestones[[#This Row],[Revised Due Date]]="",tblMilestones[[#This Row],[Due Date]]=""),"",tblMilestones[[#This Row],[Revised Due Date]]-tblMilestones[[#This Row],[Due Date]])</f>
        <v/>
      </c>
      <c r="P36" s="51" t="str">
        <f>IF(OR(tblMilestones[[#This Row],[Effective Due]]="",tblMilestones[[#This Row],[Status]]="Complete"),"",tblMilestones[[#This Row],[Effective Due]]-AsOf)</f>
        <v/>
      </c>
      <c r="Q36" s="53"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Completed On Time</v>
      </c>
      <c r="R36" s="53" t="str">
        <f>IF(tblMilestones[[#This Row],[Depends On]]="","",IFERROR(INDEX(tblMilestones[Status],MATCH(tblMilestones[[#This Row],[Depends On]],tblMilestones[ID],0)),"Not Found"))</f>
        <v/>
      </c>
      <c r="S36" s="51"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37">
      <c r="A37" s="49" t="inlineStr">
        <is>
          <t>MS-032</t>
        </is>
      </c>
      <c r="B37" s="27" t="inlineStr">
        <is>
          <t>First leader-level meeting with Three Fords Tribal Nation</t>
        </is>
      </c>
      <c r="C37" s="49" t="inlineStr">
        <is>
          <t>OBJ-5</t>
        </is>
      </c>
      <c r="D37" s="27" t="inlineStr">
        <is>
          <t>Internal Target</t>
        </is>
      </c>
      <c r="E37" s="49" t="inlineStr">
        <is>
          <t>Elena Marsh</t>
        </is>
      </c>
      <c r="F37" s="50" t="n">
        <v>46528</v>
      </c>
      <c r="G37" s="50" t="n"/>
      <c r="H37" s="49" t="inlineStr">
        <is>
          <t>In Progress</t>
        </is>
      </c>
      <c r="I37" s="50" t="n"/>
      <c r="J37" s="49" t="inlineStr">
        <is>
          <t>MS-031</t>
        </is>
      </c>
      <c r="K37" s="56" t="inlineStr">
        <is>
          <t>Yes</t>
        </is>
      </c>
      <c r="L37" s="27" t="inlineStr">
        <is>
          <t>Requires the signed invitation letter.</t>
        </is>
      </c>
      <c r="M37" s="54">
        <f>IF(AND(tblMilestones[[#This Row],[Due Date]]="",tblMilestones[[#This Row],[Revised Due Date]]=""),"",IF(tblMilestones[[#This Row],[Revised Due Date]]&lt;&gt;"",tblMilestones[[#This Row],[Revised Due Date]],tblMilestones[[#This Row],[Due Date]]))</f>
        <v>46528.0</v>
      </c>
      <c r="N37" s="55" t="str">
        <f>IF(tblMilestones[[#This Row],[Effective Due]]="","","Q"&amp;(INT(MOD(MONTH(tblMilestones[[#This Row],[Effective Due]])-StartMonth,12)/3)+1))</f>
        <v>Q2</v>
      </c>
      <c r="O37" s="51" t="str">
        <f>IF(OR(tblMilestones[[#This Row],[Revised Due Date]]="",tblMilestones[[#This Row],[Due Date]]=""),"",tblMilestones[[#This Row],[Revised Due Date]]-tblMilestones[[#This Row],[Due Date]])</f>
        <v/>
      </c>
      <c r="P37" s="51">
        <f>IF(OR(tblMilestones[[#This Row],[Effective Due]]="",tblMilestones[[#This Row],[Status]]="Complete"),"",tblMilestones[[#This Row],[Effective Due]]-AsOf)</f>
        <v>43</v>
      </c>
      <c r="Q37" s="53"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On Schedule</v>
      </c>
      <c r="R37" s="53" t="str">
        <f>IF(tblMilestones[[#This Row],[Depends On]]="","",IFERROR(INDEX(tblMilestones[Status],MATCH(tblMilestones[[#This Row],[Depends On]],tblMilestones[ID],0)),"Not Found"))</f>
        <v>Complete</v>
      </c>
      <c r="S37" s="51">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8</v>
      </c>
    </row>
    <row r="38">
      <c r="A38" s="49" t="inlineStr">
        <is>
          <t>MS-033</t>
        </is>
      </c>
      <c r="B38" s="27" t="inlineStr">
        <is>
          <t>Coordination protocol drafted jointly</t>
        </is>
      </c>
      <c r="C38" s="49" t="inlineStr">
        <is>
          <t>OBJ-5</t>
        </is>
      </c>
      <c r="D38" s="27" t="inlineStr">
        <is>
          <t>Internal Target</t>
        </is>
      </c>
      <c r="E38" s="49" t="inlineStr">
        <is>
          <t>Alicia Brandt</t>
        </is>
      </c>
      <c r="F38" s="50" t="n">
        <v>46563</v>
      </c>
      <c r="G38" s="50" t="n"/>
      <c r="H38" s="49" t="inlineStr">
        <is>
          <t>Not Started</t>
        </is>
      </c>
      <c r="I38" s="50" t="n"/>
      <c r="J38" s="49" t="inlineStr">
        <is>
          <t>MS-032</t>
        </is>
      </c>
      <c r="K38" s="56" t="inlineStr">
        <is>
          <t>No</t>
        </is>
      </c>
      <c r="L38" s="27" t="n"/>
      <c r="M38" s="54">
        <f>IF(AND(tblMilestones[[#This Row],[Due Date]]="",tblMilestones[[#This Row],[Revised Due Date]]=""),"",IF(tblMilestones[[#This Row],[Revised Due Date]]&lt;&gt;"",tblMilestones[[#This Row],[Revised Due Date]],tblMilestones[[#This Row],[Due Date]]))</f>
        <v>46563.0</v>
      </c>
      <c r="N38" s="55" t="str">
        <f>IF(tblMilestones[[#This Row],[Effective Due]]="","","Q"&amp;(INT(MOD(MONTH(tblMilestones[[#This Row],[Effective Due]])-StartMonth,12)/3)+1))</f>
        <v>Q2</v>
      </c>
      <c r="O38" s="51" t="str">
        <f>IF(OR(tblMilestones[[#This Row],[Revised Due Date]]="",tblMilestones[[#This Row],[Due Date]]=""),"",tblMilestones[[#This Row],[Revised Due Date]]-tblMilestones[[#This Row],[Due Date]])</f>
        <v/>
      </c>
      <c r="P38" s="51">
        <f>IF(OR(tblMilestones[[#This Row],[Effective Due]]="",tblMilestones[[#This Row],[Status]]="Complete"),"",tblMilestones[[#This Row],[Effective Due]]-AsOf)</f>
        <v>78</v>
      </c>
      <c r="Q38" s="53"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On Schedule</v>
      </c>
      <c r="R38" s="53" t="str">
        <f>IF(tblMilestones[[#This Row],[Depends On]]="","",IFERROR(INDEX(tblMilestones[Status],MATCH(tblMilestones[[#This Row],[Depends On]],tblMilestones[ID],0)),"Not Found"))</f>
        <v>In Progress</v>
      </c>
      <c r="S38" s="51">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14</v>
      </c>
    </row>
    <row r="39">
      <c r="A39" s="49" t="inlineStr">
        <is>
          <t>MS-034</t>
        </is>
      </c>
      <c r="B39" s="27" t="inlineStr">
        <is>
          <t>East-bank corridor concerns documented with federal lead agency</t>
        </is>
      </c>
      <c r="C39" s="49" t="inlineStr">
        <is>
          <t>OBJ-5</t>
        </is>
      </c>
      <c r="D39" s="27" t="inlineStr">
        <is>
          <t>Internal Target</t>
        </is>
      </c>
      <c r="E39" s="49" t="inlineStr">
        <is>
          <t>Elena Marsh</t>
        </is>
      </c>
      <c r="F39" s="50" t="n">
        <v>46584</v>
      </c>
      <c r="G39" s="50" t="n"/>
      <c r="H39" s="49" t="inlineStr">
        <is>
          <t>Not Started</t>
        </is>
      </c>
      <c r="I39" s="50" t="n"/>
      <c r="J39" s="49" t="inlineStr">
        <is>
          <t>MS-032</t>
        </is>
      </c>
      <c r="K39" s="56" t="inlineStr">
        <is>
          <t>Yes</t>
        </is>
      </c>
      <c r="L39" s="27" t="n"/>
      <c r="M39" s="54">
        <f>IF(AND(tblMilestones[[#This Row],[Due Date]]="",tblMilestones[[#This Row],[Revised Due Date]]=""),"",IF(tblMilestones[[#This Row],[Revised Due Date]]&lt;&gt;"",tblMilestones[[#This Row],[Revised Due Date]],tblMilestones[[#This Row],[Due Date]]))</f>
        <v>46584.0</v>
      </c>
      <c r="N39" s="55" t="str">
        <f>IF(tblMilestones[[#This Row],[Effective Due]]="","","Q"&amp;(INT(MOD(MONTH(tblMilestones[[#This Row],[Effective Due]])-StartMonth,12)/3)+1))</f>
        <v>Q3</v>
      </c>
      <c r="O39" s="51" t="str">
        <f>IF(OR(tblMilestones[[#This Row],[Revised Due Date]]="",tblMilestones[[#This Row],[Due Date]]=""),"",tblMilestones[[#This Row],[Revised Due Date]]-tblMilestones[[#This Row],[Due Date]])</f>
        <v/>
      </c>
      <c r="P39" s="51">
        <f>IF(OR(tblMilestones[[#This Row],[Effective Due]]="",tblMilestones[[#This Row],[Status]]="Complete"),"",tblMilestones[[#This Row],[Effective Due]]-AsOf)</f>
        <v>99</v>
      </c>
      <c r="Q39" s="53"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On Schedule</v>
      </c>
      <c r="R39" s="53" t="str">
        <f>IF(tblMilestones[[#This Row],[Depends On]]="","",IFERROR(INDEX(tblMilestones[Status],MATCH(tblMilestones[[#This Row],[Depends On]],tblMilestones[ID],0)),"Not Found"))</f>
        <v>In Progress</v>
      </c>
      <c r="S39" s="51">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16</v>
      </c>
    </row>
    <row r="40">
      <c r="A40" s="49" t="inlineStr">
        <is>
          <t>MS-035</t>
        </is>
      </c>
      <c r="B40" s="27" t="inlineStr">
        <is>
          <t>Second leader-level meeting before application is finalized</t>
        </is>
      </c>
      <c r="C40" s="49" t="inlineStr">
        <is>
          <t>OBJ-5</t>
        </is>
      </c>
      <c r="D40" s="27" t="inlineStr">
        <is>
          <t>Internal Target</t>
        </is>
      </c>
      <c r="E40" s="49" t="inlineStr">
        <is>
          <t>Elena Marsh</t>
        </is>
      </c>
      <c r="F40" s="50" t="n">
        <v>46612</v>
      </c>
      <c r="G40" s="50" t="n"/>
      <c r="H40" s="49" t="inlineStr">
        <is>
          <t>Not Started</t>
        </is>
      </c>
      <c r="I40" s="50" t="n"/>
      <c r="J40" s="49" t="inlineStr">
        <is>
          <t>MS-033</t>
        </is>
      </c>
      <c r="K40" s="56" t="inlineStr">
        <is>
          <t>No</t>
        </is>
      </c>
      <c r="L40" s="27" t="n"/>
      <c r="M40" s="54">
        <f>IF(AND(tblMilestones[[#This Row],[Due Date]]="",tblMilestones[[#This Row],[Revised Due Date]]=""),"",IF(tblMilestones[[#This Row],[Revised Due Date]]&lt;&gt;"",tblMilestones[[#This Row],[Revised Due Date]],tblMilestones[[#This Row],[Due Date]]))</f>
        <v>46612.0</v>
      </c>
      <c r="N40" s="55" t="str">
        <f>IF(tblMilestones[[#This Row],[Effective Due]]="","","Q"&amp;(INT(MOD(MONTH(tblMilestones[[#This Row],[Effective Due]])-StartMonth,12)/3)+1))</f>
        <v>Q3</v>
      </c>
      <c r="O40" s="51" t="str">
        <f>IF(OR(tblMilestones[[#This Row],[Revised Due Date]]="",tblMilestones[[#This Row],[Due Date]]=""),"",tblMilestones[[#This Row],[Revised Due Date]]-tblMilestones[[#This Row],[Due Date]])</f>
        <v/>
      </c>
      <c r="P40" s="51">
        <f>IF(OR(tblMilestones[[#This Row],[Effective Due]]="",tblMilestones[[#This Row],[Status]]="Complete"),"",tblMilestones[[#This Row],[Effective Due]]-AsOf)</f>
        <v>127</v>
      </c>
      <c r="Q40" s="53"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On Schedule</v>
      </c>
      <c r="R40" s="53" t="str">
        <f>IF(tblMilestones[[#This Row],[Depends On]]="","",IFERROR(INDEX(tblMilestones[Status],MATCH(tblMilestones[[#This Row],[Depends On]],tblMilestones[ID],0)),"Not Found"))</f>
        <v>Not Started</v>
      </c>
      <c r="S40" s="51">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19</v>
      </c>
    </row>
    <row r="41">
      <c r="A41" s="49" t="inlineStr">
        <is>
          <t>MS-036</t>
        </is>
      </c>
      <c r="B41" s="27" t="inlineStr">
        <is>
          <t>Comments filed on state stormwater general permit revision</t>
        </is>
      </c>
      <c r="C41" s="49" t="inlineStr">
        <is>
          <t>OBJ-2</t>
        </is>
      </c>
      <c r="D41" s="27" t="inlineStr">
        <is>
          <t>Fixed External Date</t>
        </is>
      </c>
      <c r="E41" s="49" t="inlineStr">
        <is>
          <t>Jordan Pike</t>
        </is>
      </c>
      <c r="F41" s="50" t="n">
        <v>46514</v>
      </c>
      <c r="G41" s="50" t="n"/>
      <c r="H41" s="49" t="inlineStr">
        <is>
          <t>Not Started</t>
        </is>
      </c>
      <c r="I41" s="50" t="n"/>
      <c r="J41" s="49" t="inlineStr">
        <is>
          <t>MS-019</t>
        </is>
      </c>
      <c r="K41" s="56" t="inlineStr">
        <is>
          <t>No</t>
        </is>
      </c>
      <c r="L41" s="27" t="inlineStr">
        <is>
          <t>Comment period closes May 7.</t>
        </is>
      </c>
      <c r="M41" s="54">
        <f>IF(AND(tblMilestones[[#This Row],[Due Date]]="",tblMilestones[[#This Row],[Revised Due Date]]=""),"",IF(tblMilestones[[#This Row],[Revised Due Date]]&lt;&gt;"",tblMilestones[[#This Row],[Revised Due Date]],tblMilestones[[#This Row],[Due Date]]))</f>
        <v>46514.0</v>
      </c>
      <c r="N41" s="55" t="str">
        <f>IF(tblMilestones[[#This Row],[Effective Due]]="","","Q"&amp;(INT(MOD(MONTH(tblMilestones[[#This Row],[Effective Due]])-StartMonth,12)/3)+1))</f>
        <v>Q2</v>
      </c>
      <c r="O41" s="51" t="str">
        <f>IF(OR(tblMilestones[[#This Row],[Revised Due Date]]="",tblMilestones[[#This Row],[Due Date]]=""),"",tblMilestones[[#This Row],[Revised Due Date]]-tblMilestones[[#This Row],[Due Date]])</f>
        <v/>
      </c>
      <c r="P41" s="51">
        <f>IF(OR(tblMilestones[[#This Row],[Effective Due]]="",tblMilestones[[#This Row],[Status]]="Complete"),"",tblMilestones[[#This Row],[Effective Due]]-AsOf)</f>
        <v>29</v>
      </c>
      <c r="Q41" s="53"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On Schedule</v>
      </c>
      <c r="R41" s="53" t="str">
        <f>IF(tblMilestones[[#This Row],[Depends On]]="","",IFERROR(INDEX(tblMilestones[Status],MATCH(tblMilestones[[#This Row],[Depends On]],tblMilestones[ID],0)),"Not Found"))</f>
        <v>In Progress</v>
      </c>
      <c r="S41" s="51">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5</v>
      </c>
    </row>
    <row r="42">
      <c r="A42" s="49" t="n"/>
      <c r="B42" s="27" t="n"/>
      <c r="C42" s="49" t="n"/>
      <c r="D42" s="27" t="n"/>
      <c r="E42" s="49" t="n"/>
      <c r="F42" s="50" t="n"/>
      <c r="G42" s="50" t="n"/>
      <c r="H42" s="49" t="n"/>
      <c r="I42" s="50" t="n"/>
      <c r="J42" s="49" t="n"/>
      <c r="K42" s="56" t="n"/>
      <c r="L42" s="27" t="n"/>
      <c r="M42" s="54" t="str">
        <f>IF(AND(tblMilestones[[#This Row],[Due Date]]="",tblMilestones[[#This Row],[Revised Due Date]]=""),"",IF(tblMilestones[[#This Row],[Revised Due Date]]&lt;&gt;"",tblMilestones[[#This Row],[Revised Due Date]],tblMilestones[[#This Row],[Due Date]]))</f>
        <v/>
      </c>
      <c r="N42" s="55" t="str">
        <f>IF(tblMilestones[[#This Row],[Effective Due]]="","","Q"&amp;(INT(MOD(MONTH(tblMilestones[[#This Row],[Effective Due]])-StartMonth,12)/3)+1))</f>
        <v/>
      </c>
      <c r="O42" s="51" t="str">
        <f>IF(OR(tblMilestones[[#This Row],[Revised Due Date]]="",tblMilestones[[#This Row],[Due Date]]=""),"",tblMilestones[[#This Row],[Revised Due Date]]-tblMilestones[[#This Row],[Due Date]])</f>
        <v/>
      </c>
      <c r="P42" s="51" t="str">
        <f>IF(OR(tblMilestones[[#This Row],[Effective Due]]="",tblMilestones[[#This Row],[Status]]="Complete"),"",tblMilestones[[#This Row],[Effective Due]]-AsOf)</f>
        <v/>
      </c>
      <c r="Q42" s="53"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42" s="53" t="str">
        <f>IF(tblMilestones[[#This Row],[Depends On]]="","",IFERROR(INDEX(tblMilestones[Status],MATCH(tblMilestones[[#This Row],[Depends On]],tblMilestones[ID],0)),"Not Found"))</f>
        <v/>
      </c>
      <c r="S42" s="51"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43">
      <c r="A43" s="49" t="n"/>
      <c r="B43" s="27" t="n"/>
      <c r="C43" s="49" t="n"/>
      <c r="D43" s="27" t="n"/>
      <c r="E43" s="49" t="n"/>
      <c r="F43" s="50" t="n"/>
      <c r="G43" s="50" t="n"/>
      <c r="H43" s="49" t="n"/>
      <c r="I43" s="50" t="n"/>
      <c r="J43" s="49" t="n"/>
      <c r="K43" s="56" t="n"/>
      <c r="L43" s="27" t="n"/>
      <c r="M43" s="54" t="str">
        <f>IF(AND(tblMilestones[[#This Row],[Due Date]]="",tblMilestones[[#This Row],[Revised Due Date]]=""),"",IF(tblMilestones[[#This Row],[Revised Due Date]]&lt;&gt;"",tblMilestones[[#This Row],[Revised Due Date]],tblMilestones[[#This Row],[Due Date]]))</f>
        <v/>
      </c>
      <c r="N43" s="55" t="str">
        <f>IF(tblMilestones[[#This Row],[Effective Due]]="","","Q"&amp;(INT(MOD(MONTH(tblMilestones[[#This Row],[Effective Due]])-StartMonth,12)/3)+1))</f>
        <v/>
      </c>
      <c r="O43" s="51" t="str">
        <f>IF(OR(tblMilestones[[#This Row],[Revised Due Date]]="",tblMilestones[[#This Row],[Due Date]]=""),"",tblMilestones[[#This Row],[Revised Due Date]]-tblMilestones[[#This Row],[Due Date]])</f>
        <v/>
      </c>
      <c r="P43" s="51" t="str">
        <f>IF(OR(tblMilestones[[#This Row],[Effective Due]]="",tblMilestones[[#This Row],[Status]]="Complete"),"",tblMilestones[[#This Row],[Effective Due]]-AsOf)</f>
        <v/>
      </c>
      <c r="Q43" s="53"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43" s="53" t="str">
        <f>IF(tblMilestones[[#This Row],[Depends On]]="","",IFERROR(INDEX(tblMilestones[Status],MATCH(tblMilestones[[#This Row],[Depends On]],tblMilestones[ID],0)),"Not Found"))</f>
        <v/>
      </c>
      <c r="S43" s="51"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44">
      <c r="A44" s="49" t="n"/>
      <c r="B44" s="27" t="n"/>
      <c r="C44" s="49" t="n"/>
      <c r="D44" s="27" t="n"/>
      <c r="E44" s="49" t="n"/>
      <c r="F44" s="50" t="n"/>
      <c r="G44" s="50" t="n"/>
      <c r="H44" s="49" t="n"/>
      <c r="I44" s="50" t="n"/>
      <c r="J44" s="49" t="n"/>
      <c r="K44" s="56" t="n"/>
      <c r="L44" s="27" t="n"/>
      <c r="M44" s="54" t="str">
        <f>IF(AND(tblMilestones[[#This Row],[Due Date]]="",tblMilestones[[#This Row],[Revised Due Date]]=""),"",IF(tblMilestones[[#This Row],[Revised Due Date]]&lt;&gt;"",tblMilestones[[#This Row],[Revised Due Date]],tblMilestones[[#This Row],[Due Date]]))</f>
        <v/>
      </c>
      <c r="N44" s="55" t="str">
        <f>IF(tblMilestones[[#This Row],[Effective Due]]="","","Q"&amp;(INT(MOD(MONTH(tblMilestones[[#This Row],[Effective Due]])-StartMonth,12)/3)+1))</f>
        <v/>
      </c>
      <c r="O44" s="51" t="str">
        <f>IF(OR(tblMilestones[[#This Row],[Revised Due Date]]="",tblMilestones[[#This Row],[Due Date]]=""),"",tblMilestones[[#This Row],[Revised Due Date]]-tblMilestones[[#This Row],[Due Date]])</f>
        <v/>
      </c>
      <c r="P44" s="51" t="str">
        <f>IF(OR(tblMilestones[[#This Row],[Effective Due]]="",tblMilestones[[#This Row],[Status]]="Complete"),"",tblMilestones[[#This Row],[Effective Due]]-AsOf)</f>
        <v/>
      </c>
      <c r="Q44" s="53"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44" s="53" t="str">
        <f>IF(tblMilestones[[#This Row],[Depends On]]="","",IFERROR(INDEX(tblMilestones[Status],MATCH(tblMilestones[[#This Row],[Depends On]],tblMilestones[ID],0)),"Not Found"))</f>
        <v/>
      </c>
      <c r="S44" s="51"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45">
      <c r="A45" s="49" t="n"/>
      <c r="B45" s="27" t="n"/>
      <c r="C45" s="49" t="n"/>
      <c r="D45" s="27" t="n"/>
      <c r="E45" s="49" t="n"/>
      <c r="F45" s="50" t="n"/>
      <c r="G45" s="50" t="n"/>
      <c r="H45" s="49" t="n"/>
      <c r="I45" s="50" t="n"/>
      <c r="J45" s="49" t="n"/>
      <c r="K45" s="56" t="n"/>
      <c r="L45" s="27" t="n"/>
      <c r="M45" s="54" t="str">
        <f>IF(AND(tblMilestones[[#This Row],[Due Date]]="",tblMilestones[[#This Row],[Revised Due Date]]=""),"",IF(tblMilestones[[#This Row],[Revised Due Date]]&lt;&gt;"",tblMilestones[[#This Row],[Revised Due Date]],tblMilestones[[#This Row],[Due Date]]))</f>
        <v/>
      </c>
      <c r="N45" s="55" t="str">
        <f>IF(tblMilestones[[#This Row],[Effective Due]]="","","Q"&amp;(INT(MOD(MONTH(tblMilestones[[#This Row],[Effective Due]])-StartMonth,12)/3)+1))</f>
        <v/>
      </c>
      <c r="O45" s="51" t="str">
        <f>IF(OR(tblMilestones[[#This Row],[Revised Due Date]]="",tblMilestones[[#This Row],[Due Date]]=""),"",tblMilestones[[#This Row],[Revised Due Date]]-tblMilestones[[#This Row],[Due Date]])</f>
        <v/>
      </c>
      <c r="P45" s="51" t="str">
        <f>IF(OR(tblMilestones[[#This Row],[Effective Due]]="",tblMilestones[[#This Row],[Status]]="Complete"),"",tblMilestones[[#This Row],[Effective Due]]-AsOf)</f>
        <v/>
      </c>
      <c r="Q45" s="53"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45" s="53" t="str">
        <f>IF(tblMilestones[[#This Row],[Depends On]]="","",IFERROR(INDEX(tblMilestones[Status],MATCH(tblMilestones[[#This Row],[Depends On]],tblMilestones[ID],0)),"Not Found"))</f>
        <v/>
      </c>
      <c r="S45" s="51"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46">
      <c r="A46" s="49" t="n"/>
      <c r="B46" s="27" t="n"/>
      <c r="C46" s="49" t="n"/>
      <c r="D46" s="27" t="n"/>
      <c r="E46" s="49" t="n"/>
      <c r="F46" s="50" t="n"/>
      <c r="G46" s="50" t="n"/>
      <c r="H46" s="49" t="n"/>
      <c r="I46" s="50" t="n"/>
      <c r="J46" s="49" t="n"/>
      <c r="K46" s="56" t="n"/>
      <c r="L46" s="27" t="n"/>
      <c r="M46" s="54" t="str">
        <f>IF(AND(tblMilestones[[#This Row],[Due Date]]="",tblMilestones[[#This Row],[Revised Due Date]]=""),"",IF(tblMilestones[[#This Row],[Revised Due Date]]&lt;&gt;"",tblMilestones[[#This Row],[Revised Due Date]],tblMilestones[[#This Row],[Due Date]]))</f>
        <v/>
      </c>
      <c r="N46" s="55" t="str">
        <f>IF(tblMilestones[[#This Row],[Effective Due]]="","","Q"&amp;(INT(MOD(MONTH(tblMilestones[[#This Row],[Effective Due]])-StartMonth,12)/3)+1))</f>
        <v/>
      </c>
      <c r="O46" s="51" t="str">
        <f>IF(OR(tblMilestones[[#This Row],[Revised Due Date]]="",tblMilestones[[#This Row],[Due Date]]=""),"",tblMilestones[[#This Row],[Revised Due Date]]-tblMilestones[[#This Row],[Due Date]])</f>
        <v/>
      </c>
      <c r="P46" s="51" t="str">
        <f>IF(OR(tblMilestones[[#This Row],[Effective Due]]="",tblMilestones[[#This Row],[Status]]="Complete"),"",tblMilestones[[#This Row],[Effective Due]]-AsOf)</f>
        <v/>
      </c>
      <c r="Q46" s="53"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46" s="53" t="str">
        <f>IF(tblMilestones[[#This Row],[Depends On]]="","",IFERROR(INDEX(tblMilestones[Status],MATCH(tblMilestones[[#This Row],[Depends On]],tblMilestones[ID],0)),"Not Found"))</f>
        <v/>
      </c>
      <c r="S46" s="51"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47">
      <c r="A47" s="49" t="n"/>
      <c r="B47" s="27" t="n"/>
      <c r="C47" s="49" t="n"/>
      <c r="D47" s="27" t="n"/>
      <c r="E47" s="49" t="n"/>
      <c r="F47" s="50" t="n"/>
      <c r="G47" s="50" t="n"/>
      <c r="H47" s="49" t="n"/>
      <c r="I47" s="50" t="n"/>
      <c r="J47" s="49" t="n"/>
      <c r="K47" s="56" t="n"/>
      <c r="L47" s="27" t="n"/>
      <c r="M47" s="54" t="str">
        <f>IF(AND(tblMilestones[[#This Row],[Due Date]]="",tblMilestones[[#This Row],[Revised Due Date]]=""),"",IF(tblMilestones[[#This Row],[Revised Due Date]]&lt;&gt;"",tblMilestones[[#This Row],[Revised Due Date]],tblMilestones[[#This Row],[Due Date]]))</f>
        <v/>
      </c>
      <c r="N47" s="55" t="str">
        <f>IF(tblMilestones[[#This Row],[Effective Due]]="","","Q"&amp;(INT(MOD(MONTH(tblMilestones[[#This Row],[Effective Due]])-StartMonth,12)/3)+1))</f>
        <v/>
      </c>
      <c r="O47" s="51" t="str">
        <f>IF(OR(tblMilestones[[#This Row],[Revised Due Date]]="",tblMilestones[[#This Row],[Due Date]]=""),"",tblMilestones[[#This Row],[Revised Due Date]]-tblMilestones[[#This Row],[Due Date]])</f>
        <v/>
      </c>
      <c r="P47" s="51" t="str">
        <f>IF(OR(tblMilestones[[#This Row],[Effective Due]]="",tblMilestones[[#This Row],[Status]]="Complete"),"",tblMilestones[[#This Row],[Effective Due]]-AsOf)</f>
        <v/>
      </c>
      <c r="Q47" s="53"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47" s="53" t="str">
        <f>IF(tblMilestones[[#This Row],[Depends On]]="","",IFERROR(INDEX(tblMilestones[Status],MATCH(tblMilestones[[#This Row],[Depends On]],tblMilestones[ID],0)),"Not Found"))</f>
        <v/>
      </c>
      <c r="S47" s="51"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48">
      <c r="A48" s="49" t="n"/>
      <c r="B48" s="27" t="n"/>
      <c r="C48" s="49" t="n"/>
      <c r="D48" s="27" t="n"/>
      <c r="E48" s="49" t="n"/>
      <c r="F48" s="50" t="n"/>
      <c r="G48" s="50" t="n"/>
      <c r="H48" s="49" t="n"/>
      <c r="I48" s="50" t="n"/>
      <c r="J48" s="49" t="n"/>
      <c r="K48" s="56" t="n"/>
      <c r="L48" s="27" t="n"/>
      <c r="M48" s="54" t="str">
        <f>IF(AND(tblMilestones[[#This Row],[Due Date]]="",tblMilestones[[#This Row],[Revised Due Date]]=""),"",IF(tblMilestones[[#This Row],[Revised Due Date]]&lt;&gt;"",tblMilestones[[#This Row],[Revised Due Date]],tblMilestones[[#This Row],[Due Date]]))</f>
        <v/>
      </c>
      <c r="N48" s="55" t="str">
        <f>IF(tblMilestones[[#This Row],[Effective Due]]="","","Q"&amp;(INT(MOD(MONTH(tblMilestones[[#This Row],[Effective Due]])-StartMonth,12)/3)+1))</f>
        <v/>
      </c>
      <c r="O48" s="51" t="str">
        <f>IF(OR(tblMilestones[[#This Row],[Revised Due Date]]="",tblMilestones[[#This Row],[Due Date]]=""),"",tblMilestones[[#This Row],[Revised Due Date]]-tblMilestones[[#This Row],[Due Date]])</f>
        <v/>
      </c>
      <c r="P48" s="51" t="str">
        <f>IF(OR(tblMilestones[[#This Row],[Effective Due]]="",tblMilestones[[#This Row],[Status]]="Complete"),"",tblMilestones[[#This Row],[Effective Due]]-AsOf)</f>
        <v/>
      </c>
      <c r="Q48" s="53"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48" s="53" t="str">
        <f>IF(tblMilestones[[#This Row],[Depends On]]="","",IFERROR(INDEX(tblMilestones[Status],MATCH(tblMilestones[[#This Row],[Depends On]],tblMilestones[ID],0)),"Not Found"))</f>
        <v/>
      </c>
      <c r="S48" s="51"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49">
      <c r="A49" s="49" t="n"/>
      <c r="B49" s="27" t="n"/>
      <c r="C49" s="49" t="n"/>
      <c r="D49" s="27" t="n"/>
      <c r="E49" s="49" t="n"/>
      <c r="F49" s="50" t="n"/>
      <c r="G49" s="50" t="n"/>
      <c r="H49" s="49" t="n"/>
      <c r="I49" s="50" t="n"/>
      <c r="J49" s="49" t="n"/>
      <c r="K49" s="56" t="n"/>
      <c r="L49" s="27" t="n"/>
      <c r="M49" s="54" t="str">
        <f>IF(AND(tblMilestones[[#This Row],[Due Date]]="",tblMilestones[[#This Row],[Revised Due Date]]=""),"",IF(tblMilestones[[#This Row],[Revised Due Date]]&lt;&gt;"",tblMilestones[[#This Row],[Revised Due Date]],tblMilestones[[#This Row],[Due Date]]))</f>
        <v/>
      </c>
      <c r="N49" s="55" t="str">
        <f>IF(tblMilestones[[#This Row],[Effective Due]]="","","Q"&amp;(INT(MOD(MONTH(tblMilestones[[#This Row],[Effective Due]])-StartMonth,12)/3)+1))</f>
        <v/>
      </c>
      <c r="O49" s="51" t="str">
        <f>IF(OR(tblMilestones[[#This Row],[Revised Due Date]]="",tblMilestones[[#This Row],[Due Date]]=""),"",tblMilestones[[#This Row],[Revised Due Date]]-tblMilestones[[#This Row],[Due Date]])</f>
        <v/>
      </c>
      <c r="P49" s="51" t="str">
        <f>IF(OR(tblMilestones[[#This Row],[Effective Due]]="",tblMilestones[[#This Row],[Status]]="Complete"),"",tblMilestones[[#This Row],[Effective Due]]-AsOf)</f>
        <v/>
      </c>
      <c r="Q49" s="53"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49" s="53" t="str">
        <f>IF(tblMilestones[[#This Row],[Depends On]]="","",IFERROR(INDEX(tblMilestones[Status],MATCH(tblMilestones[[#This Row],[Depends On]],tblMilestones[ID],0)),"Not Found"))</f>
        <v/>
      </c>
      <c r="S49" s="51"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50">
      <c r="A50" s="49" t="n"/>
      <c r="B50" s="27" t="n"/>
      <c r="C50" s="49" t="n"/>
      <c r="D50" s="27" t="n"/>
      <c r="E50" s="49" t="n"/>
      <c r="F50" s="50" t="n"/>
      <c r="G50" s="50" t="n"/>
      <c r="H50" s="49" t="n"/>
      <c r="I50" s="50" t="n"/>
      <c r="J50" s="49" t="n"/>
      <c r="K50" s="56" t="n"/>
      <c r="L50" s="27" t="n"/>
      <c r="M50" s="54" t="str">
        <f>IF(AND(tblMilestones[[#This Row],[Due Date]]="",tblMilestones[[#This Row],[Revised Due Date]]=""),"",IF(tblMilestones[[#This Row],[Revised Due Date]]&lt;&gt;"",tblMilestones[[#This Row],[Revised Due Date]],tblMilestones[[#This Row],[Due Date]]))</f>
        <v/>
      </c>
      <c r="N50" s="55" t="str">
        <f>IF(tblMilestones[[#This Row],[Effective Due]]="","","Q"&amp;(INT(MOD(MONTH(tblMilestones[[#This Row],[Effective Due]])-StartMonth,12)/3)+1))</f>
        <v/>
      </c>
      <c r="O50" s="51" t="str">
        <f>IF(OR(tblMilestones[[#This Row],[Revised Due Date]]="",tblMilestones[[#This Row],[Due Date]]=""),"",tblMilestones[[#This Row],[Revised Due Date]]-tblMilestones[[#This Row],[Due Date]])</f>
        <v/>
      </c>
      <c r="P50" s="51" t="str">
        <f>IF(OR(tblMilestones[[#This Row],[Effective Due]]="",tblMilestones[[#This Row],[Status]]="Complete"),"",tblMilestones[[#This Row],[Effective Due]]-AsOf)</f>
        <v/>
      </c>
      <c r="Q50" s="53"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50" s="53" t="str">
        <f>IF(tblMilestones[[#This Row],[Depends On]]="","",IFERROR(INDEX(tblMilestones[Status],MATCH(tblMilestones[[#This Row],[Depends On]],tblMilestones[ID],0)),"Not Found"))</f>
        <v/>
      </c>
      <c r="S50" s="51"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51">
      <c r="A51" s="49" t="n"/>
      <c r="B51" s="27" t="n"/>
      <c r="C51" s="49" t="n"/>
      <c r="D51" s="27" t="n"/>
      <c r="E51" s="49" t="n"/>
      <c r="F51" s="50" t="n"/>
      <c r="G51" s="50" t="n"/>
      <c r="H51" s="49" t="n"/>
      <c r="I51" s="50" t="n"/>
      <c r="J51" s="49" t="n"/>
      <c r="K51" s="56" t="n"/>
      <c r="L51" s="27" t="n"/>
      <c r="M51" s="54" t="str">
        <f>IF(AND(tblMilestones[[#This Row],[Due Date]]="",tblMilestones[[#This Row],[Revised Due Date]]=""),"",IF(tblMilestones[[#This Row],[Revised Due Date]]&lt;&gt;"",tblMilestones[[#This Row],[Revised Due Date]],tblMilestones[[#This Row],[Due Date]]))</f>
        <v/>
      </c>
      <c r="N51" s="55" t="str">
        <f>IF(tblMilestones[[#This Row],[Effective Due]]="","","Q"&amp;(INT(MOD(MONTH(tblMilestones[[#This Row],[Effective Due]])-StartMonth,12)/3)+1))</f>
        <v/>
      </c>
      <c r="O51" s="51" t="str">
        <f>IF(OR(tblMilestones[[#This Row],[Revised Due Date]]="",tblMilestones[[#This Row],[Due Date]]=""),"",tblMilestones[[#This Row],[Revised Due Date]]-tblMilestones[[#This Row],[Due Date]])</f>
        <v/>
      </c>
      <c r="P51" s="51" t="str">
        <f>IF(OR(tblMilestones[[#This Row],[Effective Due]]="",tblMilestones[[#This Row],[Status]]="Complete"),"",tblMilestones[[#This Row],[Effective Due]]-AsOf)</f>
        <v/>
      </c>
      <c r="Q51" s="53"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51" s="53" t="str">
        <f>IF(tblMilestones[[#This Row],[Depends On]]="","",IFERROR(INDEX(tblMilestones[Status],MATCH(tblMilestones[[#This Row],[Depends On]],tblMilestones[ID],0)),"Not Found"))</f>
        <v/>
      </c>
      <c r="S51" s="51"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52">
      <c r="A52" s="49" t="n"/>
      <c r="B52" s="27" t="n"/>
      <c r="C52" s="49" t="n"/>
      <c r="D52" s="27" t="n"/>
      <c r="E52" s="49" t="n"/>
      <c r="F52" s="50" t="n"/>
      <c r="G52" s="50" t="n"/>
      <c r="H52" s="49" t="n"/>
      <c r="I52" s="50" t="n"/>
      <c r="J52" s="49" t="n"/>
      <c r="K52" s="56" t="n"/>
      <c r="L52" s="27" t="n"/>
      <c r="M52" s="54" t="str">
        <f>IF(AND(tblMilestones[[#This Row],[Due Date]]="",tblMilestones[[#This Row],[Revised Due Date]]=""),"",IF(tblMilestones[[#This Row],[Revised Due Date]]&lt;&gt;"",tblMilestones[[#This Row],[Revised Due Date]],tblMilestones[[#This Row],[Due Date]]))</f>
        <v/>
      </c>
      <c r="N52" s="55" t="str">
        <f>IF(tblMilestones[[#This Row],[Effective Due]]="","","Q"&amp;(INT(MOD(MONTH(tblMilestones[[#This Row],[Effective Due]])-StartMonth,12)/3)+1))</f>
        <v/>
      </c>
      <c r="O52" s="51" t="str">
        <f>IF(OR(tblMilestones[[#This Row],[Revised Due Date]]="",tblMilestones[[#This Row],[Due Date]]=""),"",tblMilestones[[#This Row],[Revised Due Date]]-tblMilestones[[#This Row],[Due Date]])</f>
        <v/>
      </c>
      <c r="P52" s="51" t="str">
        <f>IF(OR(tblMilestones[[#This Row],[Effective Due]]="",tblMilestones[[#This Row],[Status]]="Complete"),"",tblMilestones[[#This Row],[Effective Due]]-AsOf)</f>
        <v/>
      </c>
      <c r="Q52" s="53"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52" s="53" t="str">
        <f>IF(tblMilestones[[#This Row],[Depends On]]="","",IFERROR(INDEX(tblMilestones[Status],MATCH(tblMilestones[[#This Row],[Depends On]],tblMilestones[ID],0)),"Not Found"))</f>
        <v/>
      </c>
      <c r="S52" s="51"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row r="53">
      <c r="A53" s="49" t="n"/>
      <c r="B53" s="27" t="n"/>
      <c r="C53" s="49" t="n"/>
      <c r="D53" s="27" t="n"/>
      <c r="E53" s="49" t="n"/>
      <c r="F53" s="50" t="n"/>
      <c r="G53" s="50" t="n"/>
      <c r="H53" s="49" t="n"/>
      <c r="I53" s="50" t="n"/>
      <c r="J53" s="49" t="n"/>
      <c r="K53" s="56" t="n"/>
      <c r="L53" s="27" t="n"/>
      <c r="M53" s="54" t="str">
        <f>IF(AND(tblMilestones[[#This Row],[Due Date]]="",tblMilestones[[#This Row],[Revised Due Date]]=""),"",IF(tblMilestones[[#This Row],[Revised Due Date]]&lt;&gt;"",tblMilestones[[#This Row],[Revised Due Date]],tblMilestones[[#This Row],[Due Date]]))</f>
        <v/>
      </c>
      <c r="N53" s="55" t="str">
        <f>IF(tblMilestones[[#This Row],[Effective Due]]="","","Q"&amp;(INT(MOD(MONTH(tblMilestones[[#This Row],[Effective Due]])-StartMonth,12)/3)+1))</f>
        <v/>
      </c>
      <c r="O53" s="51" t="str">
        <f>IF(OR(tblMilestones[[#This Row],[Revised Due Date]]="",tblMilestones[[#This Row],[Due Date]]=""),"",tblMilestones[[#This Row],[Revised Due Date]]-tblMilestones[[#This Row],[Due Date]])</f>
        <v/>
      </c>
      <c r="P53" s="51" t="str">
        <f>IF(OR(tblMilestones[[#This Row],[Effective Due]]="",tblMilestones[[#This Row],[Status]]="Complete"),"",tblMilestones[[#This Row],[Effective Due]]-AsOf)</f>
        <v/>
      </c>
      <c r="Q53" s="53" t="str">
        <f>IF(tblMilestones[[#This Row],[ID]]="","",IF(tblMilestones[[#This Row],[Status]]="Complete",IF(OR(tblMilestones[[#This Row],[Completed Date]]="",tblMilestones[[#This Row],[Effective Due]]=""),"Complete",IF(tblMilestones[[#This Row],[Completed Date]]&gt;tblMilestones[[#This Row],[Effective Due]],"Completed Late","Completed On Time")),IF(tblMilestones[[#This Row],[Effective Due]]="","No Due Date",IF(tblMilestones[[#This Row],[Effective Due]]&lt;AsOf,"Overdue",IF(tblMilestones[[#This Row],[Effective Due]]-AsOf&lt;=14,"Due Within 14 Days","On Schedule")))))</f>
        <v/>
      </c>
      <c r="R53" s="53" t="str">
        <f>IF(tblMilestones[[#This Row],[Depends On]]="","",IFERROR(INDEX(tblMilestones[Status],MATCH(tblMilestones[[#This Row],[Depends On]],tblMilestones[ID],0)),"Not Found"))</f>
        <v/>
      </c>
      <c r="S53" s="51" t="str">
        <f>IF(OR(tblMilestones[[#This Row],[ID]]="",tblMilestones[[#This Row],[Status]]="Complete",tblMilestones[[#This Row],[Effective Due]]=""),"",SUMPRODUCT((tblMilestones[ID]&lt;&gt;"")*(tblMilestones[Status]&lt;&gt;"Complete")*(tblMilestones[Effective Due]&lt;&gt;"")*(tblMilestones[Effective Due]&lt;tblMilestones[[#This Row],[Effective Due]]))+SUMPRODUCT((tblMilestones[ID]&lt;&gt;"")*(tblMilestones[Status]&lt;&gt;"Complete")*(tblMilestones[Effective Due]&lt;&gt;"")*(tblMilestones[Effective Due]=tblMilestones[[#This Row],[Effective Due]])*(ROW(tblMilestones[ID])&lt;ROW()))+1)</f>
        <v/>
      </c>
    </row>
  </sheetData>
  <conditionalFormatting sqref="Q6:Q53">
    <cfRule type="cellIs" priority="1" operator="equal" dxfId="4">
      <formula>"Overdue"</formula>
    </cfRule>
    <cfRule type="cellIs" priority="2" operator="equal" dxfId="3">
      <formula>"Due Within 14 Days"</formula>
    </cfRule>
    <cfRule type="cellIs" priority="3" operator="equal" dxfId="9">
      <formula>"Completed Late"</formula>
    </cfRule>
    <cfRule type="cellIs" priority="4" operator="equal" dxfId="1">
      <formula>"Completed On Time"</formula>
    </cfRule>
    <cfRule type="cellIs" priority="5" operator="equal" dxfId="10">
      <formula>"On Schedule"</formula>
    </cfRule>
  </conditionalFormatting>
  <conditionalFormatting sqref="H6:H53">
    <cfRule type="cellIs" priority="6" operator="equal" dxfId="2">
      <formula>"Complete"</formula>
    </cfRule>
    <cfRule type="cellIs" priority="7" operator="equal" dxfId="3">
      <formula>"Delayed"</formula>
    </cfRule>
    <cfRule type="cellIs" priority="8" operator="equal" dxfId="4">
      <formula>"Blocked"</formula>
    </cfRule>
  </conditionalFormatting>
  <conditionalFormatting sqref="R6:R53">
    <cfRule type="cellIs" priority="9" operator="equal" dxfId="9">
      <formula>"Delayed"</formula>
    </cfRule>
    <cfRule type="cellIs" priority="10" operator="equal" dxfId="11">
      <formula>"Blocked"</formula>
    </cfRule>
    <cfRule type="cellIs" priority="11" operator="equal" dxfId="4">
      <formula>"Not Found"</formula>
    </cfRule>
  </conditionalFormatting>
  <dataValidations count="9">
    <dataValidation sqref="C6:C53" showDropDown="0" showInputMessage="0" showErrorMessage="1" allowBlank="1" errorTitle="Choose from the list" error="Pick a value from the dropdown. Edit the lists on the Lists sheet." type="list" errorStyle="stop">
      <formula1>=rngObjIDs</formula1>
    </dataValidation>
    <dataValidation sqref="D6:D53" showDropDown="0" showInputMessage="0" showErrorMessage="1" allowBlank="1" errorTitle="Choose from the list" error="Pick a value from the dropdown. Edit the lists on the Lists sheet." type="list" errorStyle="stop">
      <formula1>=lstMsType</formula1>
    </dataValidation>
    <dataValidation sqref="E6:E53" showDropDown="0" showInputMessage="0" showErrorMessage="1" allowBlank="1" errorTitle="Name not on the People list" error="This name is not on the People list on the Lists sheet. Add it there, or continue to keep what you typed." type="list" errorStyle="warning">
      <formula1>=lstPeople</formula1>
    </dataValidation>
    <dataValidation sqref="F6:F53" showDropDown="0" showInputMessage="0" showErrorMessage="1" allowBlank="1" errorTitle="Enter a date" error="Enter a valid date, for example 4/15/2027." type="date" errorStyle="stop" operator="greaterThanOrEqual">
      <formula1>36526</formula1>
    </dataValidation>
    <dataValidation sqref="G6:G53" showDropDown="0" showInputMessage="0" showErrorMessage="1" allowBlank="1" errorTitle="Enter a date" error="Enter a valid date, for example 4/15/2027." type="date" errorStyle="stop" operator="greaterThanOrEqual">
      <formula1>36526</formula1>
    </dataValidation>
    <dataValidation sqref="H6:H53" showDropDown="0" showInputMessage="0" showErrorMessage="1" allowBlank="1" errorTitle="Choose from the list" error="Pick a value from the dropdown. Edit the lists on the Lists sheet." type="list" errorStyle="stop">
      <formula1>=lstMsStatus</formula1>
    </dataValidation>
    <dataValidation sqref="I6:I53" showDropDown="0" showInputMessage="0" showErrorMessage="1" allowBlank="1" errorTitle="Enter a date" error="Enter a valid date, for example 4/15/2027." type="date" errorStyle="stop" operator="greaterThanOrEqual">
      <formula1>36526</formula1>
    </dataValidation>
    <dataValidation sqref="J6:J53" showDropDown="0" showInputMessage="0" showErrorMessage="1" allowBlank="1" errorTitle="Choose from the list" error="Pick a value from the dropdown. Edit the lists on the Lists sheet." type="list" errorStyle="stop">
      <formula1>=rngMsIDs</formula1>
    </dataValidation>
    <dataValidation sqref="K6:K53" showDropDown="0" showInputMessage="0" showErrorMessage="1" allowBlank="1" errorTitle="Choose from the list" error="Pick a value from the dropdown. Edit the lists on the Lists sheet." type="list" errorStyle="stop">
      <formula1>=lstYesNo</formula1>
    </dataValidation>
  </dataValidations>
  <pageMargins left="0.5" right="0.5" top="1" bottom="1" header="0.5" footer="0.5"/>
  <pageSetup orientation="landscape" fitToHeight="0" fitToWidth="1"/>
  <headerFooter>
    <oddHeader/>
    <oddFooter>&amp;L&amp;8 Intergov Association | Strategic Plan Tracker&amp;R&amp;8 &amp;A | Page &amp;P of &amp;N</oddFooter>
    <evenHeader/>
    <evenFooter/>
    <firstHeader/>
    <firstFooter/>
  </headerFooter>
  <tableParts count="1">
    <tablePart xmlns:r="http://schemas.openxmlformats.org/officeDocument/2006/relationships" r:id="rId1"/>
  </tableParts>
</worksheet>
</file>

<file path=xl/worksheets/sheet8.xml><?xml version="1.0" encoding="utf-8"?>
<worksheet xmlns="http://schemas.openxmlformats.org/spreadsheetml/2006/main">
  <sheetPr>
    <tabColor rgb="00192E43"/>
    <outlinePr summaryBelow="1" summaryRight="1"/>
    <pageSetUpPr fitToPage="1"/>
  </sheetPr>
  <dimension ref="A1:T25"/>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9" customWidth="1" min="1" max="1"/>
    <col width="46" customWidth="1" min="2" max="2"/>
    <col width="14" customWidth="1" min="3" max="3"/>
    <col width="11" customWidth="1" min="4" max="4"/>
    <col width="11" customWidth="1" min="5" max="5"/>
    <col width="10" customWidth="1" min="6" max="6"/>
    <col width="38" customWidth="1" min="7" max="7"/>
    <col width="42" customWidth="1" min="8" max="8"/>
    <col width="16" customWidth="1" min="9" max="9"/>
    <col width="12" customWidth="1" min="10" max="10"/>
    <col width="16" customWidth="1" min="11" max="11"/>
    <col width="12" customWidth="1" min="12" max="12"/>
    <col width="12" customWidth="1" min="13" max="13"/>
    <col width="9" customWidth="1" min="14" max="14"/>
    <col width="9" customWidth="1" min="15" max="15"/>
    <col width="9" customWidth="1" min="16" max="16"/>
    <col width="10" customWidth="1" min="17" max="17"/>
    <col width="9" customWidth="1" min="18" max="18"/>
    <col width="15" customWidth="1" min="19" max="19"/>
    <col width="8" customWidth="1" min="20" max="20"/>
  </cols>
  <sheetData>
    <row r="1">
      <c r="A1" s="46" t="inlineStr">
        <is>
          <t>Risk Register</t>
        </is>
      </c>
    </row>
    <row r="2">
      <c r="A2" s="18" t="inlineStr">
        <is>
          <t>What could stop an objective, how you will know early, and what you will do. Review every quarter.</t>
        </is>
      </c>
    </row>
    <row r="3">
      <c r="A3" s="33" t="inlineStr">
        <is>
          <t xml:space="preserve">Navy headers: enter data. Slate headers with gray cells: calculated, do not overwrite. </t>
        </is>
      </c>
    </row>
    <row r="5" ht="34" customHeight="1">
      <c r="A5" s="47" t="inlineStr">
        <is>
          <t>ID</t>
        </is>
      </c>
      <c r="B5" s="47" t="inlineStr">
        <is>
          <t>Risk Statement</t>
        </is>
      </c>
      <c r="C5" s="47" t="inlineStr">
        <is>
          <t>Category</t>
        </is>
      </c>
      <c r="D5" s="47" t="inlineStr">
        <is>
          <t>Objective ID</t>
        </is>
      </c>
      <c r="E5" s="47" t="inlineStr">
        <is>
          <t>Likelihood</t>
        </is>
      </c>
      <c r="F5" s="47" t="inlineStr">
        <is>
          <t>Impact</t>
        </is>
      </c>
      <c r="G5" s="47" t="inlineStr">
        <is>
          <t>Early Warning Indicator</t>
        </is>
      </c>
      <c r="H5" s="47" t="inlineStr">
        <is>
          <t>Mitigation or Contingency</t>
        </is>
      </c>
      <c r="I5" s="47" t="inlineStr">
        <is>
          <t>Owner</t>
        </is>
      </c>
      <c r="J5" s="47" t="inlineStr">
        <is>
          <t>Status</t>
        </is>
      </c>
      <c r="K5" s="47" t="inlineStr">
        <is>
          <t>Escalation Level</t>
        </is>
      </c>
      <c r="L5" s="47" t="inlineStr">
        <is>
          <t>Date Identified</t>
        </is>
      </c>
      <c r="M5" s="47" t="inlineStr">
        <is>
          <t>Last Reviewed</t>
        </is>
      </c>
      <c r="N5" s="48" t="inlineStr">
        <is>
          <t>Likelihood Score</t>
        </is>
      </c>
      <c r="O5" s="48" t="inlineStr">
        <is>
          <t>Impact Score</t>
        </is>
      </c>
      <c r="P5" s="48" t="inlineStr">
        <is>
          <t>Exposure</t>
        </is>
      </c>
      <c r="Q5" s="48" t="inlineStr">
        <is>
          <t>Rating</t>
        </is>
      </c>
      <c r="R5" s="48" t="inlineStr">
        <is>
          <t>Days Since Review</t>
        </is>
      </c>
      <c r="S5" s="48" t="inlineStr">
        <is>
          <t>Review Flag</t>
        </is>
      </c>
      <c r="T5" s="48" t="inlineStr">
        <is>
          <t>Risk Rank</t>
        </is>
      </c>
    </row>
    <row r="6">
      <c r="A6" s="49" t="inlineStr">
        <is>
          <t>RSK-01</t>
        </is>
      </c>
      <c r="B6" s="27" t="inlineStr">
        <is>
          <t>SB 214 dies in the House committee or is amended to cap the rate or exclude bridge capital, leaving the County without a local match source.</t>
        </is>
      </c>
      <c r="C6" s="49" t="inlineStr">
        <is>
          <t>Legislative</t>
        </is>
      </c>
      <c r="D6" s="49" t="inlineStr">
        <is>
          <t>OBJ-1</t>
        </is>
      </c>
      <c r="E6" s="49" t="inlineStr">
        <is>
          <t>Moderate</t>
        </is>
      </c>
      <c r="F6" s="49" t="inlineStr">
        <is>
          <t>High</t>
        </is>
      </c>
      <c r="G6" s="27" t="inlineStr">
        <is>
          <t>Hearing not noticed; amendments filed by a Riverton-aligned member; no vote count from the Association.</t>
        </is>
      </c>
      <c r="H6" s="27" t="inlineStr">
        <is>
          <t>Weekly count with sponsor staff. Testimony reflects the count. Match fallback prepared in parallel (RSK-02).</t>
        </is>
      </c>
      <c r="I6" s="49" t="inlineStr">
        <is>
          <t>Jordan Pike</t>
        </is>
      </c>
      <c r="J6" s="49" t="inlineStr">
        <is>
          <t>Mitigating</t>
        </is>
      </c>
      <c r="K6" s="27" t="inlineStr">
        <is>
          <t>None</t>
        </is>
      </c>
      <c r="L6" s="50" t="n">
        <v>46370</v>
      </c>
      <c r="M6" s="50" t="n">
        <v>46482</v>
      </c>
      <c r="N6" s="51">
        <f>IF(tblRisks[[#This Row],[Likelihood]]="","",IFERROR(MATCH(tblRisks[[#This Row],[Likelihood]],lstLevel3,0),""))</f>
        <v>2</v>
      </c>
      <c r="O6" s="51">
        <f>IF(tblRisks[[#This Row],[Impact]]="","",IFERROR(MATCH(tblRisks[[#This Row],[Impact]],lstLevel3,0),""))</f>
        <v>3</v>
      </c>
      <c r="P6" s="51">
        <f>IF(OR(tblRisks[[#This Row],[Likelihood Score]]="",tblRisks[[#This Row],[Impact Score]]=""),"",tblRisks[[#This Row],[Likelihood Score]]*tblRisks[[#This Row],[Impact Score]])</f>
        <v>6</v>
      </c>
      <c r="Q6" s="53" t="str">
        <f>IF(tblRisks[[#This Row],[Exposure]]="","",IF(tblRisks[[#This Row],[Exposure]]&gt;=6,"High",IF(tblRisks[[#This Row],[Exposure]]&gt;=3,"Moderate","Low")))</f>
        <v>High</v>
      </c>
      <c r="R6" s="51">
        <f>IF(tblRisks[[#This Row],[Last Reviewed]]="","",AsOf-tblRisks[[#This Row],[Last Reviewed]])</f>
        <v>3</v>
      </c>
      <c r="S6" s="53" t="str">
        <f>IF(OR(tblRisks[[#This Row],[ID]]="",tblRisks[[#This Row],[Status]]="Closed"),"",IF(tblRisks[[#This Row],[Last Reviewed]]="","Never Reviewed",IF(AsOf-tblRisks[[#This Row],[Last Reviewed]]&gt;ReviewDays,"Review Overdue","Current")))</f>
        <v>Current</v>
      </c>
      <c r="T6" s="51">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2</v>
      </c>
    </row>
    <row r="7">
      <c r="A7" s="49" t="inlineStr">
        <is>
          <t>RSK-02</t>
        </is>
      </c>
      <c r="B7" s="27" t="inlineStr">
        <is>
          <t>If enabling authority fails, the County cannot commit its share of the nonfederal match before the application deadline.</t>
        </is>
      </c>
      <c r="C7" s="49" t="inlineStr">
        <is>
          <t>Fiscal</t>
        </is>
      </c>
      <c r="D7" s="49" t="inlineStr">
        <is>
          <t>OBJ-3</t>
        </is>
      </c>
      <c r="E7" s="49" t="inlineStr">
        <is>
          <t>Moderate</t>
        </is>
      </c>
      <c r="F7" s="49" t="inlineStr">
        <is>
          <t>High</t>
        </is>
      </c>
      <c r="G7" s="27" t="inlineStr">
        <is>
          <t>SB 214 amended or stalled after Apr 14; Budget Director scenarios not delivered by Apr 16.</t>
        </is>
      </c>
      <c r="H7" s="27" t="inlineStr">
        <is>
          <t>Budget Director prepares alternate match scenarios. Board decision scheduled for Jun 8. Executive direction requested.</t>
        </is>
      </c>
      <c r="I7" s="49" t="inlineStr">
        <is>
          <t>Lena Park</t>
        </is>
      </c>
      <c r="J7" s="49" t="inlineStr">
        <is>
          <t>Escalated</t>
        </is>
      </c>
      <c r="K7" s="27" t="inlineStr">
        <is>
          <t>Chief Executive</t>
        </is>
      </c>
      <c r="L7" s="50" t="n">
        <v>46370</v>
      </c>
      <c r="M7" s="50" t="n">
        <v>46482</v>
      </c>
      <c r="N7" s="51">
        <f>IF(tblRisks[[#This Row],[Likelihood]]="","",IFERROR(MATCH(tblRisks[[#This Row],[Likelihood]],lstLevel3,0),""))</f>
        <v>2</v>
      </c>
      <c r="O7" s="51">
        <f>IF(tblRisks[[#This Row],[Impact]]="","",IFERROR(MATCH(tblRisks[[#This Row],[Impact]],lstLevel3,0),""))</f>
        <v>3</v>
      </c>
      <c r="P7" s="51">
        <f>IF(OR(tblRisks[[#This Row],[Likelihood Score]]="",tblRisks[[#This Row],[Impact Score]]=""),"",tblRisks[[#This Row],[Likelihood Score]]*tblRisks[[#This Row],[Impact Score]])</f>
        <v>6</v>
      </c>
      <c r="Q7" s="53" t="str">
        <f>IF(tblRisks[[#This Row],[Exposure]]="","",IF(tblRisks[[#This Row],[Exposure]]&gt;=6,"High",IF(tblRisks[[#This Row],[Exposure]]&gt;=3,"Moderate","Low")))</f>
        <v>High</v>
      </c>
      <c r="R7" s="51">
        <f>IF(tblRisks[[#This Row],[Last Reviewed]]="","",AsOf-tblRisks[[#This Row],[Last Reviewed]])</f>
        <v>3</v>
      </c>
      <c r="S7" s="53" t="str">
        <f>IF(OR(tblRisks[[#This Row],[ID]]="",tblRisks[[#This Row],[Status]]="Closed"),"",IF(tblRisks[[#This Row],[Last Reviewed]]="","Never Reviewed",IF(AsOf-tblRisks[[#This Row],[Last Reviewed]]&gt;ReviewDays,"Review Overdue","Current")))</f>
        <v>Current</v>
      </c>
      <c r="T7" s="51">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3</v>
      </c>
    </row>
    <row r="8">
      <c r="A8" s="49" t="inlineStr">
        <is>
          <t>RSK-03</t>
        </is>
      </c>
      <c r="B8" s="27" t="inlineStr">
        <is>
          <t>Harlan County's competing request splits delegation and state support for the same federal round.</t>
        </is>
      </c>
      <c r="C8" s="49" t="inlineStr">
        <is>
          <t>Relationship</t>
        </is>
      </c>
      <c r="D8" s="49" t="inlineStr">
        <is>
          <t>OBJ-3</t>
        </is>
      </c>
      <c r="E8" s="49" t="inlineStr">
        <is>
          <t>Moderate</t>
        </is>
      </c>
      <c r="F8" s="49" t="inlineStr">
        <is>
          <t>High</t>
        </is>
      </c>
      <c r="G8" s="27" t="inlineStr">
        <is>
          <t>Harlan requests the same delegation letters; no response to Apr 20 meeting request.</t>
        </is>
      </c>
      <c r="H8" s="27" t="inlineStr">
        <is>
          <t>Alicia Brandt meets Harlan's administrator Apr 20. Propose joint approach: sequence requests and avoid asking delegation to choose.</t>
        </is>
      </c>
      <c r="I8" s="49" t="inlineStr">
        <is>
          <t>Alicia Brandt</t>
        </is>
      </c>
      <c r="J8" s="49" t="inlineStr">
        <is>
          <t>Open</t>
        </is>
      </c>
      <c r="K8" s="27" t="inlineStr">
        <is>
          <t>None</t>
        </is>
      </c>
      <c r="L8" s="50" t="n">
        <v>46406</v>
      </c>
      <c r="M8" s="50" t="n">
        <v>46482</v>
      </c>
      <c r="N8" s="51">
        <f>IF(tblRisks[[#This Row],[Likelihood]]="","",IFERROR(MATCH(tblRisks[[#This Row],[Likelihood]],lstLevel3,0),""))</f>
        <v>2</v>
      </c>
      <c r="O8" s="51">
        <f>IF(tblRisks[[#This Row],[Impact]]="","",IFERROR(MATCH(tblRisks[[#This Row],[Impact]],lstLevel3,0),""))</f>
        <v>3</v>
      </c>
      <c r="P8" s="51">
        <f>IF(OR(tblRisks[[#This Row],[Likelihood Score]]="",tblRisks[[#This Row],[Impact Score]]=""),"",tblRisks[[#This Row],[Likelihood Score]]*tblRisks[[#This Row],[Impact Score]])</f>
        <v>6</v>
      </c>
      <c r="Q8" s="53" t="str">
        <f>IF(tblRisks[[#This Row],[Exposure]]="","",IF(tblRisks[[#This Row],[Exposure]]&gt;=6,"High",IF(tblRisks[[#This Row],[Exposure]]&gt;=3,"Moderate","Low")))</f>
        <v>High</v>
      </c>
      <c r="R8" s="51">
        <f>IF(tblRisks[[#This Row],[Last Reviewed]]="","",AsOf-tblRisks[[#This Row],[Last Reviewed]])</f>
        <v>3</v>
      </c>
      <c r="S8" s="53" t="str">
        <f>IF(OR(tblRisks[[#This Row],[ID]]="",tblRisks[[#This Row],[Status]]="Closed"),"",IF(tblRisks[[#This Row],[Last Reviewed]]="","Never Reviewed",IF(AsOf-tblRisks[[#This Row],[Last Reviewed]]&gt;ReviewDays,"Review Overdue","Current")))</f>
        <v>Current</v>
      </c>
      <c r="T8" s="51">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4</v>
      </c>
    </row>
    <row r="9">
      <c r="A9" s="49" t="inlineStr">
        <is>
          <t>RSK-04</t>
        </is>
      </c>
      <c r="B9" s="27" t="inlineStr">
        <is>
          <t>Riverton and the County cannot agree on bridge cost allocation, delaying the agreement and the state match.</t>
        </is>
      </c>
      <c r="C9" s="49" t="inlineStr">
        <is>
          <t>Relationship</t>
        </is>
      </c>
      <c r="D9" s="49" t="inlineStr">
        <is>
          <t>OBJ-4</t>
        </is>
      </c>
      <c r="E9" s="49" t="inlineStr">
        <is>
          <t>High</t>
        </is>
      </c>
      <c r="F9" s="49" t="inlineStr">
        <is>
          <t>High</t>
        </is>
      </c>
      <c r="G9" s="27" t="inlineStr">
        <is>
          <t>No response from Riverton by Apr 15; council committee opposes the proposal.</t>
        </is>
      </c>
      <c r="H9" s="27" t="inlineStr">
        <is>
          <t>Negotiating range authorized Apr 1. Offer transit-lane design basis to bring the Transit Authority alongside.</t>
        </is>
      </c>
      <c r="I9" s="49" t="inlineStr">
        <is>
          <t>Alicia Brandt</t>
        </is>
      </c>
      <c r="J9" s="49" t="inlineStr">
        <is>
          <t>Escalated</t>
        </is>
      </c>
      <c r="K9" s="27" t="inlineStr">
        <is>
          <t>Executive Sponsor</t>
        </is>
      </c>
      <c r="L9" s="50" t="n">
        <v>46406</v>
      </c>
      <c r="M9" s="50" t="n">
        <v>46482</v>
      </c>
      <c r="N9" s="51">
        <f>IF(tblRisks[[#This Row],[Likelihood]]="","",IFERROR(MATCH(tblRisks[[#This Row],[Likelihood]],lstLevel3,0),""))</f>
        <v>3</v>
      </c>
      <c r="O9" s="51">
        <f>IF(tblRisks[[#This Row],[Impact]]="","",IFERROR(MATCH(tblRisks[[#This Row],[Impact]],lstLevel3,0),""))</f>
        <v>3</v>
      </c>
      <c r="P9" s="51">
        <f>IF(OR(tblRisks[[#This Row],[Likelihood Score]]="",tblRisks[[#This Row],[Impact Score]]=""),"",tblRisks[[#This Row],[Likelihood Score]]*tblRisks[[#This Row],[Impact Score]])</f>
        <v>9</v>
      </c>
      <c r="Q9" s="53" t="str">
        <f>IF(tblRisks[[#This Row],[Exposure]]="","",IF(tblRisks[[#This Row],[Exposure]]&gt;=6,"High",IF(tblRisks[[#This Row],[Exposure]]&gt;=3,"Moderate","Low")))</f>
        <v>High</v>
      </c>
      <c r="R9" s="51">
        <f>IF(tblRisks[[#This Row],[Last Reviewed]]="","",AsOf-tblRisks[[#This Row],[Last Reviewed]])</f>
        <v>3</v>
      </c>
      <c r="S9" s="53" t="str">
        <f>IF(OR(tblRisks[[#This Row],[ID]]="",tblRisks[[#This Row],[Status]]="Closed"),"",IF(tblRisks[[#This Row],[Last Reviewed]]="","Never Reviewed",IF(AsOf-tblRisks[[#This Row],[Last Reviewed]]&gt;ReviewDays,"Review Overdue","Current")))</f>
        <v>Current</v>
      </c>
      <c r="T9" s="51">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1</v>
      </c>
    </row>
    <row r="10">
      <c r="A10" s="49" t="inlineStr">
        <is>
          <t>RSK-05</t>
        </is>
      </c>
      <c r="B10" s="27" t="inlineStr">
        <is>
          <t>The federal funding notice is delayed or the criteria change, compressing the application schedule.</t>
        </is>
      </c>
      <c r="C10" s="49" t="inlineStr">
        <is>
          <t>Administrative</t>
        </is>
      </c>
      <c r="D10" s="49" t="inlineStr">
        <is>
          <t>OBJ-3</t>
        </is>
      </c>
      <c r="E10" s="49" t="inlineStr">
        <is>
          <t>Moderate</t>
        </is>
      </c>
      <c r="F10" s="49" t="inlineStr">
        <is>
          <t>Moderate</t>
        </is>
      </c>
      <c r="G10" s="27" t="inlineStr">
        <is>
          <t>No notice by Jun 15; delegation reports a change in program emphasis.</t>
        </is>
      </c>
      <c r="H10" s="27" t="inlineStr">
        <is>
          <t>Keep application materials current. Hold monthly calls with the regional office. Maintain the engagement record.</t>
        </is>
      </c>
      <c r="I10" s="49" t="inlineStr">
        <is>
          <t>Samuel Ortega</t>
        </is>
      </c>
      <c r="J10" s="49" t="inlineStr">
        <is>
          <t>Open</t>
        </is>
      </c>
      <c r="K10" s="27" t="inlineStr">
        <is>
          <t>None</t>
        </is>
      </c>
      <c r="L10" s="50" t="n">
        <v>46370</v>
      </c>
      <c r="M10" s="50" t="n">
        <v>46470</v>
      </c>
      <c r="N10" s="51">
        <f>IF(tblRisks[[#This Row],[Likelihood]]="","",IFERROR(MATCH(tblRisks[[#This Row],[Likelihood]],lstLevel3,0),""))</f>
        <v>2</v>
      </c>
      <c r="O10" s="51">
        <f>IF(tblRisks[[#This Row],[Impact]]="","",IFERROR(MATCH(tblRisks[[#This Row],[Impact]],lstLevel3,0),""))</f>
        <v>2</v>
      </c>
      <c r="P10" s="51">
        <f>IF(OR(tblRisks[[#This Row],[Likelihood Score]]="",tblRisks[[#This Row],[Impact Score]]=""),"",tblRisks[[#This Row],[Likelihood Score]]*tblRisks[[#This Row],[Impact Score]])</f>
        <v>4</v>
      </c>
      <c r="Q10" s="53" t="str">
        <f>IF(tblRisks[[#This Row],[Exposure]]="","",IF(tblRisks[[#This Row],[Exposure]]&gt;=6,"High",IF(tblRisks[[#This Row],[Exposure]]&gt;=3,"Moderate","Low")))</f>
        <v>Moderate</v>
      </c>
      <c r="R10" s="51">
        <f>IF(tblRisks[[#This Row],[Last Reviewed]]="","",AsOf-tblRisks[[#This Row],[Last Reviewed]])</f>
        <v>15</v>
      </c>
      <c r="S10" s="53" t="str">
        <f>IF(OR(tblRisks[[#This Row],[ID]]="",tblRisks[[#This Row],[Status]]="Closed"),"",IF(tblRisks[[#This Row],[Last Reviewed]]="","Never Reviewed",IF(AsOf-tblRisks[[#This Row],[Last Reviewed]]&gt;ReviewDays,"Review Overdue","Current")))</f>
        <v>Current</v>
      </c>
      <c r="T10" s="51">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7</v>
      </c>
    </row>
    <row r="11">
      <c r="A11" s="49" t="inlineStr">
        <is>
          <t>RSK-06</t>
        </is>
      </c>
      <c r="B11" s="27" t="inlineStr">
        <is>
          <t>HB 388 uniformity language is restored in the Senate or in conference, preempting stricter county standards.</t>
        </is>
      </c>
      <c r="C11" s="49" t="inlineStr">
        <is>
          <t>Legislative</t>
        </is>
      </c>
      <c r="D11" s="49" t="inlineStr">
        <is>
          <t>OBJ-2</t>
        </is>
      </c>
      <c r="E11" s="49" t="inlineStr">
        <is>
          <t>Moderate</t>
        </is>
      </c>
      <c r="F11" s="49" t="inlineStr">
        <is>
          <t>High</t>
        </is>
      </c>
      <c r="G11" s="27" t="inlineStr">
        <is>
          <t>Sponsor files an amendment in Senate committee; homebuilder testimony increases.</t>
        </is>
      </c>
      <c r="H11" s="27" t="inlineStr">
        <is>
          <t>Coalition counts with the Association and Riverton. Prepared fallback: grandfather clause for existing standards.</t>
        </is>
      </c>
      <c r="I11" s="49" t="inlineStr">
        <is>
          <t>Jordan Pike</t>
        </is>
      </c>
      <c r="J11" s="49" t="inlineStr">
        <is>
          <t>Open</t>
        </is>
      </c>
      <c r="K11" s="27" t="inlineStr">
        <is>
          <t>None</t>
        </is>
      </c>
      <c r="L11" s="50" t="n">
        <v>46391</v>
      </c>
      <c r="M11" s="50" t="n">
        <v>46478</v>
      </c>
      <c r="N11" s="51">
        <f>IF(tblRisks[[#This Row],[Likelihood]]="","",IFERROR(MATCH(tblRisks[[#This Row],[Likelihood]],lstLevel3,0),""))</f>
        <v>2</v>
      </c>
      <c r="O11" s="51">
        <f>IF(tblRisks[[#This Row],[Impact]]="","",IFERROR(MATCH(tblRisks[[#This Row],[Impact]],lstLevel3,0),""))</f>
        <v>3</v>
      </c>
      <c r="P11" s="51">
        <f>IF(OR(tblRisks[[#This Row],[Likelihood Score]]="",tblRisks[[#This Row],[Impact Score]]=""),"",tblRisks[[#This Row],[Likelihood Score]]*tblRisks[[#This Row],[Impact Score]])</f>
        <v>6</v>
      </c>
      <c r="Q11" s="53" t="str">
        <f>IF(tblRisks[[#This Row],[Exposure]]="","",IF(tblRisks[[#This Row],[Exposure]]&gt;=6,"High",IF(tblRisks[[#This Row],[Exposure]]&gt;=3,"Moderate","Low")))</f>
        <v>High</v>
      </c>
      <c r="R11" s="51">
        <f>IF(tblRisks[[#This Row],[Last Reviewed]]="","",AsOf-tblRisks[[#This Row],[Last Reviewed]])</f>
        <v>7</v>
      </c>
      <c r="S11" s="53" t="str">
        <f>IF(OR(tblRisks[[#This Row],[ID]]="",tblRisks[[#This Row],[Status]]="Closed"),"",IF(tblRisks[[#This Row],[Last Reviewed]]="","Never Reviewed",IF(AsOf-tblRisks[[#This Row],[Last Reviewed]]&gt;ReviewDays,"Review Overdue","Current")))</f>
        <v>Current</v>
      </c>
      <c r="T11" s="51">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5</v>
      </c>
    </row>
    <row r="12">
      <c r="A12" s="49" t="inlineStr">
        <is>
          <t>RSK-07</t>
        </is>
      </c>
      <c r="B12" s="27" t="inlineStr">
        <is>
          <t>The Three Fords Tribal Nation's engagement timeline does not align with the application schedule, or the Nation declines early engagement.</t>
        </is>
      </c>
      <c r="C12" s="49" t="inlineStr">
        <is>
          <t>Relationship</t>
        </is>
      </c>
      <c r="D12" s="49" t="inlineStr">
        <is>
          <t>OBJ-5</t>
        </is>
      </c>
      <c r="E12" s="49" t="inlineStr">
        <is>
          <t>Moderate</t>
        </is>
      </c>
      <c r="F12" s="49" t="inlineStr">
        <is>
          <t>Moderate</t>
        </is>
      </c>
      <c r="G12" s="27" t="inlineStr">
        <is>
          <t>Invitation letter unsent; no leader-level date set by May 7.</t>
        </is>
      </c>
      <c r="H12" s="27" t="inlineStr">
        <is>
          <t>Escalated for signature. Interim staff-level exchange through the Cultural Resources Department. Respect the Nation's channels and pace.</t>
        </is>
      </c>
      <c r="I12" s="49" t="inlineStr">
        <is>
          <t>Elena Marsh</t>
        </is>
      </c>
      <c r="J12" s="49" t="inlineStr">
        <is>
          <t>Escalated</t>
        </is>
      </c>
      <c r="K12" s="27" t="inlineStr">
        <is>
          <t>Chief Executive</t>
        </is>
      </c>
      <c r="L12" s="50" t="n">
        <v>46428</v>
      </c>
      <c r="M12" s="50" t="n">
        <v>46482</v>
      </c>
      <c r="N12" s="51">
        <f>IF(tblRisks[[#This Row],[Likelihood]]="","",IFERROR(MATCH(tblRisks[[#This Row],[Likelihood]],lstLevel3,0),""))</f>
        <v>2</v>
      </c>
      <c r="O12" s="51">
        <f>IF(tblRisks[[#This Row],[Impact]]="","",IFERROR(MATCH(tblRisks[[#This Row],[Impact]],lstLevel3,0),""))</f>
        <v>2</v>
      </c>
      <c r="P12" s="51">
        <f>IF(OR(tblRisks[[#This Row],[Likelihood Score]]="",tblRisks[[#This Row],[Impact Score]]=""),"",tblRisks[[#This Row],[Likelihood Score]]*tblRisks[[#This Row],[Impact Score]])</f>
        <v>4</v>
      </c>
      <c r="Q12" s="53" t="str">
        <f>IF(tblRisks[[#This Row],[Exposure]]="","",IF(tblRisks[[#This Row],[Exposure]]&gt;=6,"High",IF(tblRisks[[#This Row],[Exposure]]&gt;=3,"Moderate","Low")))</f>
        <v>Moderate</v>
      </c>
      <c r="R12" s="51">
        <f>IF(tblRisks[[#This Row],[Last Reviewed]]="","",AsOf-tblRisks[[#This Row],[Last Reviewed]])</f>
        <v>3</v>
      </c>
      <c r="S12" s="53" t="str">
        <f>IF(OR(tblRisks[[#This Row],[ID]]="",tblRisks[[#This Row],[Status]]="Closed"),"",IF(tblRisks[[#This Row],[Last Reviewed]]="","Never Reviewed",IF(AsOf-tblRisks[[#This Row],[Last Reviewed]]&gt;ReviewDays,"Review Overdue","Current")))</f>
        <v>Current</v>
      </c>
      <c r="T12" s="51">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8</v>
      </c>
    </row>
    <row r="13">
      <c r="A13" s="49" t="inlineStr">
        <is>
          <t>RSK-08</t>
        </is>
      </c>
      <c r="B13" s="27" t="inlineStr">
        <is>
          <t>One analyst carries both active bills during session; absence or overload delays clearances and testimony.</t>
        </is>
      </c>
      <c r="C13" s="49" t="inlineStr">
        <is>
          <t>Capacity</t>
        </is>
      </c>
      <c r="D13" s="49" t="inlineStr">
        <is>
          <t>OBJ-2</t>
        </is>
      </c>
      <c r="E13" s="49" t="inlineStr">
        <is>
          <t>Moderate</t>
        </is>
      </c>
      <c r="F13" s="49" t="inlineStr">
        <is>
          <t>Moderate</t>
        </is>
      </c>
      <c r="G13" s="27" t="inlineStr">
        <is>
          <t>More than two simultaneous deadlines in a week; clearance turnaround above standard.</t>
        </is>
      </c>
      <c r="H13" s="27" t="inlineStr">
        <is>
          <t>Samuel Ortega covers HB 530 tracking. Elena Marsh handles testimony on SB 214.</t>
        </is>
      </c>
      <c r="I13" s="49" t="inlineStr">
        <is>
          <t>Elena Marsh</t>
        </is>
      </c>
      <c r="J13" s="49" t="inlineStr">
        <is>
          <t>Mitigating</t>
        </is>
      </c>
      <c r="K13" s="27" t="inlineStr">
        <is>
          <t>None</t>
        </is>
      </c>
      <c r="L13" s="50" t="n">
        <v>46370</v>
      </c>
      <c r="M13" s="50" t="n">
        <v>46476</v>
      </c>
      <c r="N13" s="51">
        <f>IF(tblRisks[[#This Row],[Likelihood]]="","",IFERROR(MATCH(tblRisks[[#This Row],[Likelihood]],lstLevel3,0),""))</f>
        <v>2</v>
      </c>
      <c r="O13" s="51">
        <f>IF(tblRisks[[#This Row],[Impact]]="","",IFERROR(MATCH(tblRisks[[#This Row],[Impact]],lstLevel3,0),""))</f>
        <v>2</v>
      </c>
      <c r="P13" s="51">
        <f>IF(OR(tblRisks[[#This Row],[Likelihood Score]]="",tblRisks[[#This Row],[Impact Score]]=""),"",tblRisks[[#This Row],[Likelihood Score]]*tblRisks[[#This Row],[Impact Score]])</f>
        <v>4</v>
      </c>
      <c r="Q13" s="53" t="str">
        <f>IF(tblRisks[[#This Row],[Exposure]]="","",IF(tblRisks[[#This Row],[Exposure]]&gt;=6,"High",IF(tblRisks[[#This Row],[Exposure]]&gt;=3,"Moderate","Low")))</f>
        <v>Moderate</v>
      </c>
      <c r="R13" s="51">
        <f>IF(tblRisks[[#This Row],[Last Reviewed]]="","",AsOf-tblRisks[[#This Row],[Last Reviewed]])</f>
        <v>9</v>
      </c>
      <c r="S13" s="53" t="str">
        <f>IF(OR(tblRisks[[#This Row],[ID]]="",tblRisks[[#This Row],[Status]]="Closed"),"",IF(tblRisks[[#This Row],[Last Reviewed]]="","Never Reviewed",IF(AsOf-tblRisks[[#This Row],[Last Reviewed]]&gt;ReviewDays,"Review Overdue","Current")))</f>
        <v>Current</v>
      </c>
      <c r="T13" s="51">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9</v>
      </c>
    </row>
    <row r="14">
      <c r="A14" s="49" t="inlineStr">
        <is>
          <t>RSK-09</t>
        </is>
      </c>
      <c r="B14" s="27" t="inlineStr">
        <is>
          <t>Riverton's November 2027 election changes council positions before the agreement is executed.</t>
        </is>
      </c>
      <c r="C14" s="49" t="inlineStr">
        <is>
          <t>Relationship</t>
        </is>
      </c>
      <c r="D14" s="49" t="inlineStr">
        <is>
          <t>OBJ-4</t>
        </is>
      </c>
      <c r="E14" s="49" t="inlineStr">
        <is>
          <t>Low</t>
        </is>
      </c>
      <c r="F14" s="49" t="inlineStr">
        <is>
          <t>Moderate</t>
        </is>
      </c>
      <c r="G14" s="27" t="inlineStr">
        <is>
          <t>Candidates take public positions on the bridge or on cost allocation.</t>
        </is>
      </c>
      <c r="H14" s="27" t="inlineStr">
        <is>
          <t>Seek approval by Aug 17 so execution precedes campaign season. Brief candidates after the primary if asked.</t>
        </is>
      </c>
      <c r="I14" s="49" t="inlineStr">
        <is>
          <t>Alicia Brandt</t>
        </is>
      </c>
      <c r="J14" s="49" t="inlineStr">
        <is>
          <t>Open</t>
        </is>
      </c>
      <c r="K14" s="27" t="inlineStr">
        <is>
          <t>None</t>
        </is>
      </c>
      <c r="L14" s="50" t="n">
        <v>46370</v>
      </c>
      <c r="M14" s="50" t="n">
        <v>46374</v>
      </c>
      <c r="N14" s="51">
        <f>IF(tblRisks[[#This Row],[Likelihood]]="","",IFERROR(MATCH(tblRisks[[#This Row],[Likelihood]],lstLevel3,0),""))</f>
        <v>1</v>
      </c>
      <c r="O14" s="51">
        <f>IF(tblRisks[[#This Row],[Impact]]="","",IFERROR(MATCH(tblRisks[[#This Row],[Impact]],lstLevel3,0),""))</f>
        <v>2</v>
      </c>
      <c r="P14" s="51">
        <f>IF(OR(tblRisks[[#This Row],[Likelihood Score]]="",tblRisks[[#This Row],[Impact Score]]=""),"",tblRisks[[#This Row],[Likelihood Score]]*tblRisks[[#This Row],[Impact Score]])</f>
        <v>2</v>
      </c>
      <c r="Q14" s="53" t="str">
        <f>IF(tblRisks[[#This Row],[Exposure]]="","",IF(tblRisks[[#This Row],[Exposure]]&gt;=6,"High",IF(tblRisks[[#This Row],[Exposure]]&gt;=3,"Moderate","Low")))</f>
        <v>Low</v>
      </c>
      <c r="R14" s="51">
        <f>IF(tblRisks[[#This Row],[Last Reviewed]]="","",AsOf-tblRisks[[#This Row],[Last Reviewed]])</f>
        <v>111</v>
      </c>
      <c r="S14" s="53" t="str">
        <f>IF(OR(tblRisks[[#This Row],[ID]]="",tblRisks[[#This Row],[Status]]="Closed"),"",IF(tblRisks[[#This Row],[Last Reviewed]]="","Never Reviewed",IF(AsOf-tblRisks[[#This Row],[Last Reviewed]]&gt;ReviewDays,"Review Overdue","Current")))</f>
        <v>Review Overdue</v>
      </c>
      <c r="T14" s="51">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11</v>
      </c>
    </row>
    <row r="15">
      <c r="A15" s="49" t="inlineStr">
        <is>
          <t>RSK-10</t>
        </is>
      </c>
      <c r="B15" s="27" t="inlineStr">
        <is>
          <t>A commissioner or department head makes a public statement that contradicts a cleared position.</t>
        </is>
      </c>
      <c r="C15" s="49" t="inlineStr">
        <is>
          <t>Reputational</t>
        </is>
      </c>
      <c r="D15" s="49" t="inlineStr">
        <is>
          <t>OBJ-2</t>
        </is>
      </c>
      <c r="E15" s="49" t="inlineStr">
        <is>
          <t>Low</t>
        </is>
      </c>
      <c r="F15" s="49" t="inlineStr">
        <is>
          <t>Moderate</t>
        </is>
      </c>
      <c r="G15" s="27" t="inlineStr">
        <is>
          <t>Press inquiries on HB 388; unscheduled testimony requests to individual commissioners.</t>
        </is>
      </c>
      <c r="H15" s="27" t="inlineStr">
        <is>
          <t>Clearance protocol; two designated spokespeople per bill; Board Chair reminders before hearings.</t>
        </is>
      </c>
      <c r="I15" s="49" t="inlineStr">
        <is>
          <t>Elena Marsh</t>
        </is>
      </c>
      <c r="J15" s="49" t="inlineStr">
        <is>
          <t>Mitigating</t>
        </is>
      </c>
      <c r="K15" s="27" t="inlineStr">
        <is>
          <t>None</t>
        </is>
      </c>
      <c r="L15" s="50" t="n">
        <v>46442</v>
      </c>
      <c r="M15" s="50" t="n">
        <v>46476</v>
      </c>
      <c r="N15" s="51">
        <f>IF(tblRisks[[#This Row],[Likelihood]]="","",IFERROR(MATCH(tblRisks[[#This Row],[Likelihood]],lstLevel3,0),""))</f>
        <v>1</v>
      </c>
      <c r="O15" s="51">
        <f>IF(tblRisks[[#This Row],[Impact]]="","",IFERROR(MATCH(tblRisks[[#This Row],[Impact]],lstLevel3,0),""))</f>
        <v>2</v>
      </c>
      <c r="P15" s="51">
        <f>IF(OR(tblRisks[[#This Row],[Likelihood Score]]="",tblRisks[[#This Row],[Impact Score]]=""),"",tblRisks[[#This Row],[Likelihood Score]]*tblRisks[[#This Row],[Impact Score]])</f>
        <v>2</v>
      </c>
      <c r="Q15" s="53" t="str">
        <f>IF(tblRisks[[#This Row],[Exposure]]="","",IF(tblRisks[[#This Row],[Exposure]]&gt;=6,"High",IF(tblRisks[[#This Row],[Exposure]]&gt;=3,"Moderate","Low")))</f>
        <v>Low</v>
      </c>
      <c r="R15" s="51">
        <f>IF(tblRisks[[#This Row],[Last Reviewed]]="","",AsOf-tblRisks[[#This Row],[Last Reviewed]])</f>
        <v>9</v>
      </c>
      <c r="S15" s="53" t="str">
        <f>IF(OR(tblRisks[[#This Row],[ID]]="",tblRisks[[#This Row],[Status]]="Closed"),"",IF(tblRisks[[#This Row],[Last Reviewed]]="","Never Reviewed",IF(AsOf-tblRisks[[#This Row],[Last Reviewed]]&gt;ReviewDays,"Review Overdue","Current")))</f>
        <v>Current</v>
      </c>
      <c r="T15" s="51">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12</v>
      </c>
    </row>
    <row r="16">
      <c r="A16" s="49" t="inlineStr">
        <is>
          <t>RSK-11</t>
        </is>
      </c>
      <c r="B16" s="27" t="inlineStr">
        <is>
          <t>The governor vetoes SB 214 or signals opposition after passage.</t>
        </is>
      </c>
      <c r="C16" s="49" t="inlineStr">
        <is>
          <t>Legislative</t>
        </is>
      </c>
      <c r="D16" s="49" t="inlineStr">
        <is>
          <t>OBJ-1</t>
        </is>
      </c>
      <c r="E16" s="49" t="inlineStr">
        <is>
          <t>Low</t>
        </is>
      </c>
      <c r="F16" s="49" t="inlineStr">
        <is>
          <t>High</t>
        </is>
      </c>
      <c r="G16" s="27" t="inlineStr">
        <is>
          <t>No signal from policy staff by Apr 29; Revenue Department raises new concerns.</t>
        </is>
      </c>
      <c r="H16" s="27" t="inlineStr">
        <is>
          <t>Brief policy staff Apr 22. Provide one-page fiscal summary. Prepare veto response plan.</t>
        </is>
      </c>
      <c r="I16" s="49" t="inlineStr">
        <is>
          <t>Elena Marsh</t>
        </is>
      </c>
      <c r="J16" s="49" t="inlineStr">
        <is>
          <t>Open</t>
        </is>
      </c>
      <c r="K16" s="27" t="inlineStr">
        <is>
          <t>None</t>
        </is>
      </c>
      <c r="L16" s="50" t="n">
        <v>46407</v>
      </c>
      <c r="M16" s="50" t="n">
        <v>46478</v>
      </c>
      <c r="N16" s="51">
        <f>IF(tblRisks[[#This Row],[Likelihood]]="","",IFERROR(MATCH(tblRisks[[#This Row],[Likelihood]],lstLevel3,0),""))</f>
        <v>1</v>
      </c>
      <c r="O16" s="51">
        <f>IF(tblRisks[[#This Row],[Impact]]="","",IFERROR(MATCH(tblRisks[[#This Row],[Impact]],lstLevel3,0),""))</f>
        <v>3</v>
      </c>
      <c r="P16" s="51">
        <f>IF(OR(tblRisks[[#This Row],[Likelihood Score]]="",tblRisks[[#This Row],[Impact Score]]=""),"",tblRisks[[#This Row],[Likelihood Score]]*tblRisks[[#This Row],[Impact Score]])</f>
        <v>3</v>
      </c>
      <c r="Q16" s="53" t="str">
        <f>IF(tblRisks[[#This Row],[Exposure]]="","",IF(tblRisks[[#This Row],[Exposure]]&gt;=6,"High",IF(tblRisks[[#This Row],[Exposure]]&gt;=3,"Moderate","Low")))</f>
        <v>Moderate</v>
      </c>
      <c r="R16" s="51">
        <f>IF(tblRisks[[#This Row],[Last Reviewed]]="","",AsOf-tblRisks[[#This Row],[Last Reviewed]])</f>
        <v>7</v>
      </c>
      <c r="S16" s="53" t="str">
        <f>IF(OR(tblRisks[[#This Row],[ID]]="",tblRisks[[#This Row],[Status]]="Closed"),"",IF(tblRisks[[#This Row],[Last Reviewed]]="","Never Reviewed",IF(AsOf-tblRisks[[#This Row],[Last Reviewed]]&gt;ReviewDays,"Review Overdue","Current")))</f>
        <v>Current</v>
      </c>
      <c r="T16" s="51">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10</v>
      </c>
    </row>
    <row r="17">
      <c r="A17" s="49" t="inlineStr">
        <is>
          <t>RSK-12</t>
        </is>
      </c>
      <c r="B17" s="27" t="inlineStr">
        <is>
          <t>HB 530 reduces the county share of state road funds before local-option revenue arrives.</t>
        </is>
      </c>
      <c r="C17" s="49" t="inlineStr">
        <is>
          <t>Fiscal</t>
        </is>
      </c>
      <c r="D17" s="49" t="inlineStr">
        <is>
          <t>OBJ-1</t>
        </is>
      </c>
      <c r="E17" s="49" t="inlineStr">
        <is>
          <t>Moderate</t>
        </is>
      </c>
      <c r="F17" s="49" t="inlineStr">
        <is>
          <t>High</t>
        </is>
      </c>
      <c r="G17" s="27" t="inlineStr">
        <is>
          <t>Hearing scheduled; Budget Office estimate shows a reduction above the Board's threshold.</t>
        </is>
      </c>
      <c r="H17" s="27" t="inlineStr">
        <is>
          <t>Budget Office estimate. Position from the Deputy County Executive. Coalition alignment through the Association.</t>
        </is>
      </c>
      <c r="I17" s="49" t="inlineStr">
        <is>
          <t>Jordan Pike</t>
        </is>
      </c>
      <c r="J17" s="49" t="inlineStr">
        <is>
          <t>Escalated</t>
        </is>
      </c>
      <c r="K17" s="27" t="inlineStr">
        <is>
          <t>Executive Sponsor</t>
        </is>
      </c>
      <c r="L17" s="50" t="n">
        <v>46476</v>
      </c>
      <c r="M17" s="50" t="n">
        <v>46482</v>
      </c>
      <c r="N17" s="51">
        <f>IF(tblRisks[[#This Row],[Likelihood]]="","",IFERROR(MATCH(tblRisks[[#This Row],[Likelihood]],lstLevel3,0),""))</f>
        <v>2</v>
      </c>
      <c r="O17" s="51">
        <f>IF(tblRisks[[#This Row],[Impact]]="","",IFERROR(MATCH(tblRisks[[#This Row],[Impact]],lstLevel3,0),""))</f>
        <v>3</v>
      </c>
      <c r="P17" s="51">
        <f>IF(OR(tblRisks[[#This Row],[Likelihood Score]]="",tblRisks[[#This Row],[Impact Score]]=""),"",tblRisks[[#This Row],[Likelihood Score]]*tblRisks[[#This Row],[Impact Score]])</f>
        <v>6</v>
      </c>
      <c r="Q17" s="53" t="str">
        <f>IF(tblRisks[[#This Row],[Exposure]]="","",IF(tblRisks[[#This Row],[Exposure]]&gt;=6,"High",IF(tblRisks[[#This Row],[Exposure]]&gt;=3,"Moderate","Low")))</f>
        <v>High</v>
      </c>
      <c r="R17" s="51">
        <f>IF(tblRisks[[#This Row],[Last Reviewed]]="","",AsOf-tblRisks[[#This Row],[Last Reviewed]])</f>
        <v>3</v>
      </c>
      <c r="S17" s="53" t="str">
        <f>IF(OR(tblRisks[[#This Row],[ID]]="",tblRisks[[#This Row],[Status]]="Closed"),"",IF(tblRisks[[#This Row],[Last Reviewed]]="","Never Reviewed",IF(AsOf-tblRisks[[#This Row],[Last Reviewed]]&gt;ReviewDays,"Review Overdue","Current")))</f>
        <v>Current</v>
      </c>
      <c r="T17" s="51">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6</v>
      </c>
    </row>
    <row r="18">
      <c r="A18" s="49" t="n"/>
      <c r="B18" s="27" t="n"/>
      <c r="C18" s="49" t="n"/>
      <c r="D18" s="49" t="n"/>
      <c r="E18" s="49" t="n"/>
      <c r="F18" s="49" t="n"/>
      <c r="G18" s="27" t="n"/>
      <c r="H18" s="27" t="n"/>
      <c r="I18" s="49" t="n"/>
      <c r="J18" s="49" t="n"/>
      <c r="K18" s="27" t="n"/>
      <c r="L18" s="50" t="n"/>
      <c r="M18" s="50" t="n"/>
      <c r="N18" s="51" t="str">
        <f>IF(tblRisks[[#This Row],[Likelihood]]="","",IFERROR(MATCH(tblRisks[[#This Row],[Likelihood]],lstLevel3,0),""))</f>
        <v/>
      </c>
      <c r="O18" s="51" t="str">
        <f>IF(tblRisks[[#This Row],[Impact]]="","",IFERROR(MATCH(tblRisks[[#This Row],[Impact]],lstLevel3,0),""))</f>
        <v/>
      </c>
      <c r="P18" s="51" t="str">
        <f>IF(OR(tblRisks[[#This Row],[Likelihood Score]]="",tblRisks[[#This Row],[Impact Score]]=""),"",tblRisks[[#This Row],[Likelihood Score]]*tblRisks[[#This Row],[Impact Score]])</f>
        <v/>
      </c>
      <c r="Q18" s="53" t="str">
        <f>IF(tblRisks[[#This Row],[Exposure]]="","",IF(tblRisks[[#This Row],[Exposure]]&gt;=6,"High",IF(tblRisks[[#This Row],[Exposure]]&gt;=3,"Moderate","Low")))</f>
        <v/>
      </c>
      <c r="R18" s="51" t="str">
        <f>IF(tblRisks[[#This Row],[Last Reviewed]]="","",AsOf-tblRisks[[#This Row],[Last Reviewed]])</f>
        <v/>
      </c>
      <c r="S18" s="53" t="str">
        <f>IF(OR(tblRisks[[#This Row],[ID]]="",tblRisks[[#This Row],[Status]]="Closed"),"",IF(tblRisks[[#This Row],[Last Reviewed]]="","Never Reviewed",IF(AsOf-tblRisks[[#This Row],[Last Reviewed]]&gt;ReviewDays,"Review Overdue","Current")))</f>
        <v/>
      </c>
      <c r="T18" s="51" t="str">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
      </c>
    </row>
    <row r="19">
      <c r="A19" s="49" t="n"/>
      <c r="B19" s="27" t="n"/>
      <c r="C19" s="49" t="n"/>
      <c r="D19" s="49" t="n"/>
      <c r="E19" s="49" t="n"/>
      <c r="F19" s="49" t="n"/>
      <c r="G19" s="27" t="n"/>
      <c r="H19" s="27" t="n"/>
      <c r="I19" s="49" t="n"/>
      <c r="J19" s="49" t="n"/>
      <c r="K19" s="27" t="n"/>
      <c r="L19" s="50" t="n"/>
      <c r="M19" s="50" t="n"/>
      <c r="N19" s="51" t="str">
        <f>IF(tblRisks[[#This Row],[Likelihood]]="","",IFERROR(MATCH(tblRisks[[#This Row],[Likelihood]],lstLevel3,0),""))</f>
        <v/>
      </c>
      <c r="O19" s="51" t="str">
        <f>IF(tblRisks[[#This Row],[Impact]]="","",IFERROR(MATCH(tblRisks[[#This Row],[Impact]],lstLevel3,0),""))</f>
        <v/>
      </c>
      <c r="P19" s="51" t="str">
        <f>IF(OR(tblRisks[[#This Row],[Likelihood Score]]="",tblRisks[[#This Row],[Impact Score]]=""),"",tblRisks[[#This Row],[Likelihood Score]]*tblRisks[[#This Row],[Impact Score]])</f>
        <v/>
      </c>
      <c r="Q19" s="53" t="str">
        <f>IF(tblRisks[[#This Row],[Exposure]]="","",IF(tblRisks[[#This Row],[Exposure]]&gt;=6,"High",IF(tblRisks[[#This Row],[Exposure]]&gt;=3,"Moderate","Low")))</f>
        <v/>
      </c>
      <c r="R19" s="51" t="str">
        <f>IF(tblRisks[[#This Row],[Last Reviewed]]="","",AsOf-tblRisks[[#This Row],[Last Reviewed]])</f>
        <v/>
      </c>
      <c r="S19" s="53" t="str">
        <f>IF(OR(tblRisks[[#This Row],[ID]]="",tblRisks[[#This Row],[Status]]="Closed"),"",IF(tblRisks[[#This Row],[Last Reviewed]]="","Never Reviewed",IF(AsOf-tblRisks[[#This Row],[Last Reviewed]]&gt;ReviewDays,"Review Overdue","Current")))</f>
        <v/>
      </c>
      <c r="T19" s="51" t="str">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
      </c>
    </row>
    <row r="20">
      <c r="A20" s="49" t="n"/>
      <c r="B20" s="27" t="n"/>
      <c r="C20" s="49" t="n"/>
      <c r="D20" s="49" t="n"/>
      <c r="E20" s="49" t="n"/>
      <c r="F20" s="49" t="n"/>
      <c r="G20" s="27" t="n"/>
      <c r="H20" s="27" t="n"/>
      <c r="I20" s="49" t="n"/>
      <c r="J20" s="49" t="n"/>
      <c r="K20" s="27" t="n"/>
      <c r="L20" s="50" t="n"/>
      <c r="M20" s="50" t="n"/>
      <c r="N20" s="51" t="str">
        <f>IF(tblRisks[[#This Row],[Likelihood]]="","",IFERROR(MATCH(tblRisks[[#This Row],[Likelihood]],lstLevel3,0),""))</f>
        <v/>
      </c>
      <c r="O20" s="51" t="str">
        <f>IF(tblRisks[[#This Row],[Impact]]="","",IFERROR(MATCH(tblRisks[[#This Row],[Impact]],lstLevel3,0),""))</f>
        <v/>
      </c>
      <c r="P20" s="51" t="str">
        <f>IF(OR(tblRisks[[#This Row],[Likelihood Score]]="",tblRisks[[#This Row],[Impact Score]]=""),"",tblRisks[[#This Row],[Likelihood Score]]*tblRisks[[#This Row],[Impact Score]])</f>
        <v/>
      </c>
      <c r="Q20" s="53" t="str">
        <f>IF(tblRisks[[#This Row],[Exposure]]="","",IF(tblRisks[[#This Row],[Exposure]]&gt;=6,"High",IF(tblRisks[[#This Row],[Exposure]]&gt;=3,"Moderate","Low")))</f>
        <v/>
      </c>
      <c r="R20" s="51" t="str">
        <f>IF(tblRisks[[#This Row],[Last Reviewed]]="","",AsOf-tblRisks[[#This Row],[Last Reviewed]])</f>
        <v/>
      </c>
      <c r="S20" s="53" t="str">
        <f>IF(OR(tblRisks[[#This Row],[ID]]="",tblRisks[[#This Row],[Status]]="Closed"),"",IF(tblRisks[[#This Row],[Last Reviewed]]="","Never Reviewed",IF(AsOf-tblRisks[[#This Row],[Last Reviewed]]&gt;ReviewDays,"Review Overdue","Current")))</f>
        <v/>
      </c>
      <c r="T20" s="51" t="str">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
      </c>
    </row>
    <row r="21">
      <c r="A21" s="49" t="n"/>
      <c r="B21" s="27" t="n"/>
      <c r="C21" s="49" t="n"/>
      <c r="D21" s="49" t="n"/>
      <c r="E21" s="49" t="n"/>
      <c r="F21" s="49" t="n"/>
      <c r="G21" s="27" t="n"/>
      <c r="H21" s="27" t="n"/>
      <c r="I21" s="49" t="n"/>
      <c r="J21" s="49" t="n"/>
      <c r="K21" s="27" t="n"/>
      <c r="L21" s="50" t="n"/>
      <c r="M21" s="50" t="n"/>
      <c r="N21" s="51" t="str">
        <f>IF(tblRisks[[#This Row],[Likelihood]]="","",IFERROR(MATCH(tblRisks[[#This Row],[Likelihood]],lstLevel3,0),""))</f>
        <v/>
      </c>
      <c r="O21" s="51" t="str">
        <f>IF(tblRisks[[#This Row],[Impact]]="","",IFERROR(MATCH(tblRisks[[#This Row],[Impact]],lstLevel3,0),""))</f>
        <v/>
      </c>
      <c r="P21" s="51" t="str">
        <f>IF(OR(tblRisks[[#This Row],[Likelihood Score]]="",tblRisks[[#This Row],[Impact Score]]=""),"",tblRisks[[#This Row],[Likelihood Score]]*tblRisks[[#This Row],[Impact Score]])</f>
        <v/>
      </c>
      <c r="Q21" s="53" t="str">
        <f>IF(tblRisks[[#This Row],[Exposure]]="","",IF(tblRisks[[#This Row],[Exposure]]&gt;=6,"High",IF(tblRisks[[#This Row],[Exposure]]&gt;=3,"Moderate","Low")))</f>
        <v/>
      </c>
      <c r="R21" s="51" t="str">
        <f>IF(tblRisks[[#This Row],[Last Reviewed]]="","",AsOf-tblRisks[[#This Row],[Last Reviewed]])</f>
        <v/>
      </c>
      <c r="S21" s="53" t="str">
        <f>IF(OR(tblRisks[[#This Row],[ID]]="",tblRisks[[#This Row],[Status]]="Closed"),"",IF(tblRisks[[#This Row],[Last Reviewed]]="","Never Reviewed",IF(AsOf-tblRisks[[#This Row],[Last Reviewed]]&gt;ReviewDays,"Review Overdue","Current")))</f>
        <v/>
      </c>
      <c r="T21" s="51" t="str">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
      </c>
    </row>
    <row r="22">
      <c r="A22" s="49" t="n"/>
      <c r="B22" s="27" t="n"/>
      <c r="C22" s="49" t="n"/>
      <c r="D22" s="49" t="n"/>
      <c r="E22" s="49" t="n"/>
      <c r="F22" s="49" t="n"/>
      <c r="G22" s="27" t="n"/>
      <c r="H22" s="27" t="n"/>
      <c r="I22" s="49" t="n"/>
      <c r="J22" s="49" t="n"/>
      <c r="K22" s="27" t="n"/>
      <c r="L22" s="50" t="n"/>
      <c r="M22" s="50" t="n"/>
      <c r="N22" s="51" t="str">
        <f>IF(tblRisks[[#This Row],[Likelihood]]="","",IFERROR(MATCH(tblRisks[[#This Row],[Likelihood]],lstLevel3,0),""))</f>
        <v/>
      </c>
      <c r="O22" s="51" t="str">
        <f>IF(tblRisks[[#This Row],[Impact]]="","",IFERROR(MATCH(tblRisks[[#This Row],[Impact]],lstLevel3,0),""))</f>
        <v/>
      </c>
      <c r="P22" s="51" t="str">
        <f>IF(OR(tblRisks[[#This Row],[Likelihood Score]]="",tblRisks[[#This Row],[Impact Score]]=""),"",tblRisks[[#This Row],[Likelihood Score]]*tblRisks[[#This Row],[Impact Score]])</f>
        <v/>
      </c>
      <c r="Q22" s="53" t="str">
        <f>IF(tblRisks[[#This Row],[Exposure]]="","",IF(tblRisks[[#This Row],[Exposure]]&gt;=6,"High",IF(tblRisks[[#This Row],[Exposure]]&gt;=3,"Moderate","Low")))</f>
        <v/>
      </c>
      <c r="R22" s="51" t="str">
        <f>IF(tblRisks[[#This Row],[Last Reviewed]]="","",AsOf-tblRisks[[#This Row],[Last Reviewed]])</f>
        <v/>
      </c>
      <c r="S22" s="53" t="str">
        <f>IF(OR(tblRisks[[#This Row],[ID]]="",tblRisks[[#This Row],[Status]]="Closed"),"",IF(tblRisks[[#This Row],[Last Reviewed]]="","Never Reviewed",IF(AsOf-tblRisks[[#This Row],[Last Reviewed]]&gt;ReviewDays,"Review Overdue","Current")))</f>
        <v/>
      </c>
      <c r="T22" s="51" t="str">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
      </c>
    </row>
    <row r="23">
      <c r="A23" s="49" t="n"/>
      <c r="B23" s="27" t="n"/>
      <c r="C23" s="49" t="n"/>
      <c r="D23" s="49" t="n"/>
      <c r="E23" s="49" t="n"/>
      <c r="F23" s="49" t="n"/>
      <c r="G23" s="27" t="n"/>
      <c r="H23" s="27" t="n"/>
      <c r="I23" s="49" t="n"/>
      <c r="J23" s="49" t="n"/>
      <c r="K23" s="27" t="n"/>
      <c r="L23" s="50" t="n"/>
      <c r="M23" s="50" t="n"/>
      <c r="N23" s="51" t="str">
        <f>IF(tblRisks[[#This Row],[Likelihood]]="","",IFERROR(MATCH(tblRisks[[#This Row],[Likelihood]],lstLevel3,0),""))</f>
        <v/>
      </c>
      <c r="O23" s="51" t="str">
        <f>IF(tblRisks[[#This Row],[Impact]]="","",IFERROR(MATCH(tblRisks[[#This Row],[Impact]],lstLevel3,0),""))</f>
        <v/>
      </c>
      <c r="P23" s="51" t="str">
        <f>IF(OR(tblRisks[[#This Row],[Likelihood Score]]="",tblRisks[[#This Row],[Impact Score]]=""),"",tblRisks[[#This Row],[Likelihood Score]]*tblRisks[[#This Row],[Impact Score]])</f>
        <v/>
      </c>
      <c r="Q23" s="53" t="str">
        <f>IF(tblRisks[[#This Row],[Exposure]]="","",IF(tblRisks[[#This Row],[Exposure]]&gt;=6,"High",IF(tblRisks[[#This Row],[Exposure]]&gt;=3,"Moderate","Low")))</f>
        <v/>
      </c>
      <c r="R23" s="51" t="str">
        <f>IF(tblRisks[[#This Row],[Last Reviewed]]="","",AsOf-tblRisks[[#This Row],[Last Reviewed]])</f>
        <v/>
      </c>
      <c r="S23" s="53" t="str">
        <f>IF(OR(tblRisks[[#This Row],[ID]]="",tblRisks[[#This Row],[Status]]="Closed"),"",IF(tblRisks[[#This Row],[Last Reviewed]]="","Never Reviewed",IF(AsOf-tblRisks[[#This Row],[Last Reviewed]]&gt;ReviewDays,"Review Overdue","Current")))</f>
        <v/>
      </c>
      <c r="T23" s="51" t="str">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
      </c>
    </row>
    <row r="24">
      <c r="A24" s="49" t="n"/>
      <c r="B24" s="27" t="n"/>
      <c r="C24" s="49" t="n"/>
      <c r="D24" s="49" t="n"/>
      <c r="E24" s="49" t="n"/>
      <c r="F24" s="49" t="n"/>
      <c r="G24" s="27" t="n"/>
      <c r="H24" s="27" t="n"/>
      <c r="I24" s="49" t="n"/>
      <c r="J24" s="49" t="n"/>
      <c r="K24" s="27" t="n"/>
      <c r="L24" s="50" t="n"/>
      <c r="M24" s="50" t="n"/>
      <c r="N24" s="51" t="str">
        <f>IF(tblRisks[[#This Row],[Likelihood]]="","",IFERROR(MATCH(tblRisks[[#This Row],[Likelihood]],lstLevel3,0),""))</f>
        <v/>
      </c>
      <c r="O24" s="51" t="str">
        <f>IF(tblRisks[[#This Row],[Impact]]="","",IFERROR(MATCH(tblRisks[[#This Row],[Impact]],lstLevel3,0),""))</f>
        <v/>
      </c>
      <c r="P24" s="51" t="str">
        <f>IF(OR(tblRisks[[#This Row],[Likelihood Score]]="",tblRisks[[#This Row],[Impact Score]]=""),"",tblRisks[[#This Row],[Likelihood Score]]*tblRisks[[#This Row],[Impact Score]])</f>
        <v/>
      </c>
      <c r="Q24" s="53" t="str">
        <f>IF(tblRisks[[#This Row],[Exposure]]="","",IF(tblRisks[[#This Row],[Exposure]]&gt;=6,"High",IF(tblRisks[[#This Row],[Exposure]]&gt;=3,"Moderate","Low")))</f>
        <v/>
      </c>
      <c r="R24" s="51" t="str">
        <f>IF(tblRisks[[#This Row],[Last Reviewed]]="","",AsOf-tblRisks[[#This Row],[Last Reviewed]])</f>
        <v/>
      </c>
      <c r="S24" s="53" t="str">
        <f>IF(OR(tblRisks[[#This Row],[ID]]="",tblRisks[[#This Row],[Status]]="Closed"),"",IF(tblRisks[[#This Row],[Last Reviewed]]="","Never Reviewed",IF(AsOf-tblRisks[[#This Row],[Last Reviewed]]&gt;ReviewDays,"Review Overdue","Current")))</f>
        <v/>
      </c>
      <c r="T24" s="51" t="str">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
      </c>
    </row>
    <row r="25">
      <c r="A25" s="49" t="n"/>
      <c r="B25" s="27" t="n"/>
      <c r="C25" s="49" t="n"/>
      <c r="D25" s="49" t="n"/>
      <c r="E25" s="49" t="n"/>
      <c r="F25" s="49" t="n"/>
      <c r="G25" s="27" t="n"/>
      <c r="H25" s="27" t="n"/>
      <c r="I25" s="49" t="n"/>
      <c r="J25" s="49" t="n"/>
      <c r="K25" s="27" t="n"/>
      <c r="L25" s="50" t="n"/>
      <c r="M25" s="50" t="n"/>
      <c r="N25" s="51" t="str">
        <f>IF(tblRisks[[#This Row],[Likelihood]]="","",IFERROR(MATCH(tblRisks[[#This Row],[Likelihood]],lstLevel3,0),""))</f>
        <v/>
      </c>
      <c r="O25" s="51" t="str">
        <f>IF(tblRisks[[#This Row],[Impact]]="","",IFERROR(MATCH(tblRisks[[#This Row],[Impact]],lstLevel3,0),""))</f>
        <v/>
      </c>
      <c r="P25" s="51" t="str">
        <f>IF(OR(tblRisks[[#This Row],[Likelihood Score]]="",tblRisks[[#This Row],[Impact Score]]=""),"",tblRisks[[#This Row],[Likelihood Score]]*tblRisks[[#This Row],[Impact Score]])</f>
        <v/>
      </c>
      <c r="Q25" s="53" t="str">
        <f>IF(tblRisks[[#This Row],[Exposure]]="","",IF(tblRisks[[#This Row],[Exposure]]&gt;=6,"High",IF(tblRisks[[#This Row],[Exposure]]&gt;=3,"Moderate","Low")))</f>
        <v/>
      </c>
      <c r="R25" s="51" t="str">
        <f>IF(tblRisks[[#This Row],[Last Reviewed]]="","",AsOf-tblRisks[[#This Row],[Last Reviewed]])</f>
        <v/>
      </c>
      <c r="S25" s="53" t="str">
        <f>IF(OR(tblRisks[[#This Row],[ID]]="",tblRisks[[#This Row],[Status]]="Closed"),"",IF(tblRisks[[#This Row],[Last Reviewed]]="","Never Reviewed",IF(AsOf-tblRisks[[#This Row],[Last Reviewed]]&gt;ReviewDays,"Review Overdue","Current")))</f>
        <v/>
      </c>
      <c r="T25" s="51" t="str">
        <f>IF(OR(tblRisks[[#This Row],[ID]]="",tblRisks[[#This Row],[Status]]="Closed",tblRisks[[#This Row],[Exposure]]=""),"",SUMPRODUCT((tblRisks[ID]&lt;&gt;"")*(tblRisks[Status]&lt;&gt;"Closed")*(tblRisks[Exposure]&lt;&gt;"")*(tblRisks[Exposure]&gt;tblRisks[[#This Row],[Exposure]]))+SUMPRODUCT((tblRisks[ID]&lt;&gt;"")*(tblRisks[Status]&lt;&gt;"Closed")*(tblRisks[Exposure]&lt;&gt;"")*(tblRisks[Exposure]=tblRisks[[#This Row],[Exposure]])*(ROW(tblRisks[ID])&lt;ROW()))+1)</f>
        <v/>
      </c>
    </row>
  </sheetData>
  <conditionalFormatting sqref="Q6:Q25">
    <cfRule type="cellIs" priority="1" operator="equal" dxfId="4">
      <formula>"High"</formula>
    </cfRule>
    <cfRule type="cellIs" priority="2" operator="equal" dxfId="3">
      <formula>"Moderate"</formula>
    </cfRule>
    <cfRule type="cellIs" priority="3" operator="equal" dxfId="1">
      <formula>"Low"</formula>
    </cfRule>
  </conditionalFormatting>
  <conditionalFormatting sqref="S6:S25">
    <cfRule type="cellIs" priority="4" operator="equal" dxfId="4">
      <formula>"Review Overdue"</formula>
    </cfRule>
    <cfRule type="cellIs" priority="5" operator="equal" dxfId="4">
      <formula>"Never Reviewed"</formula>
    </cfRule>
    <cfRule type="cellIs" priority="6" operator="equal" dxfId="1">
      <formula>"Current"</formula>
    </cfRule>
  </conditionalFormatting>
  <conditionalFormatting sqref="J6:J25">
    <cfRule type="cellIs" priority="7" operator="equal" dxfId="3">
      <formula>"Escalated"</formula>
    </cfRule>
    <cfRule type="cellIs" priority="8" operator="equal" dxfId="4">
      <formula>"Realized"</formula>
    </cfRule>
    <cfRule type="cellIs" priority="9" operator="equal" dxfId="6">
      <formula>"Closed"</formula>
    </cfRule>
  </conditionalFormatting>
  <dataValidations count="9">
    <dataValidation sqref="C6:C25" showDropDown="0" showInputMessage="0" showErrorMessage="1" allowBlank="1" errorTitle="Choose from the list" error="Pick a value from the dropdown. Edit the lists on the Lists sheet." type="list" errorStyle="stop">
      <formula1>=lstRiskCat</formula1>
    </dataValidation>
    <dataValidation sqref="D6:D25" showDropDown="0" showInputMessage="0" showErrorMessage="1" allowBlank="1" errorTitle="Choose from the list" error="Pick a value from the dropdown. Edit the lists on the Lists sheet." type="list" errorStyle="stop">
      <formula1>=rngObjIDs</formula1>
    </dataValidation>
    <dataValidation sqref="E6:E25" showDropDown="0" showInputMessage="0" showErrorMessage="1" allowBlank="1" errorTitle="Choose from the list" error="Pick a value from the dropdown. Edit the lists on the Lists sheet." type="list" errorStyle="stop">
      <formula1>=lstLevel3</formula1>
    </dataValidation>
    <dataValidation sqref="F6:F25" showDropDown="0" showInputMessage="0" showErrorMessage="1" allowBlank="1" errorTitle="Choose from the list" error="Pick a value from the dropdown. Edit the lists on the Lists sheet." type="list" errorStyle="stop">
      <formula1>=lstLevel3</formula1>
    </dataValidation>
    <dataValidation sqref="I6:I25" showDropDown="0" showInputMessage="0" showErrorMessage="1" allowBlank="1" errorTitle="Name not on the People list" error="This name is not on the People list on the Lists sheet. Add it there, or continue to keep what you typed." type="list" errorStyle="warning">
      <formula1>=lstPeople</formula1>
    </dataValidation>
    <dataValidation sqref="J6:J25" showDropDown="0" showInputMessage="0" showErrorMessage="1" allowBlank="1" errorTitle="Choose from the list" error="Pick a value from the dropdown. Edit the lists on the Lists sheet." type="list" errorStyle="stop">
      <formula1>=lstRiskStatus</formula1>
    </dataValidation>
    <dataValidation sqref="K6:K25" showDropDown="0" showInputMessage="0" showErrorMessage="1" allowBlank="1" errorTitle="Choose from the list" error="Pick a value from the dropdown. Edit the lists on the Lists sheet." type="list" errorStyle="stop">
      <formula1>=lstEscLevel</formula1>
    </dataValidation>
    <dataValidation sqref="L6:L25" showDropDown="0" showInputMessage="0" showErrorMessage="1" allowBlank="1" errorTitle="Enter a date" error="Enter a valid date, for example 4/15/2027." type="date" errorStyle="stop" operator="greaterThanOrEqual">
      <formula1>36526</formula1>
    </dataValidation>
    <dataValidation sqref="M6:M25" showDropDown="0" showInputMessage="0" showErrorMessage="1" allowBlank="1" errorTitle="Enter a date" error="Enter a valid date, for example 4/15/2027." type="date" errorStyle="stop" operator="greaterThanOrEqual">
      <formula1>36526</formula1>
    </dataValidation>
  </dataValidations>
  <pageMargins left="0.5" right="0.5" top="1" bottom="1" header="0.5" footer="0.5"/>
  <pageSetup orientation="landscape" fitToHeight="0" fitToWidth="1"/>
  <headerFooter>
    <oddHeader/>
    <oddFooter>&amp;L&amp;8 Intergov Association | Strategic Plan Tracker&amp;R&amp;8 &amp;A | Page &amp;P of &amp;N</oddFooter>
    <evenHeader/>
    <evenFooter/>
    <firstHeader/>
    <firstFooter/>
  </headerFooter>
  <tableParts count="1">
    <tablePart xmlns:r="http://schemas.openxmlformats.org/officeDocument/2006/relationships" r:id="rId1"/>
  </tableParts>
</worksheet>
</file>

<file path=xl/worksheets/sheet9.xml><?xml version="1.0" encoding="utf-8"?>
<worksheet xmlns="http://schemas.openxmlformats.org/spreadsheetml/2006/main">
  <sheetPr>
    <tabColor rgb="00192E43"/>
    <outlinePr summaryBelow="1" summaryRight="1"/>
    <pageSetUpPr fitToPage="1"/>
  </sheetPr>
  <dimension ref="A1:N18"/>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9" customWidth="1" min="1" max="1"/>
    <col width="12" customWidth="1" min="2" max="2"/>
    <col width="10" customWidth="1" min="3" max="3"/>
    <col width="11" customWidth="1" min="4" max="4"/>
    <col width="44" customWidth="1" min="5" max="5"/>
    <col width="16" customWidth="1" min="6" max="6"/>
    <col width="16" customWidth="1" min="7" max="7"/>
    <col width="44" customWidth="1" min="8" max="8"/>
    <col width="12" customWidth="1" min="9" max="9"/>
    <col width="12" customWidth="1" min="10" max="10"/>
    <col width="44" customWidth="1" min="11" max="11"/>
    <col width="13" customWidth="1" min="12" max="12"/>
    <col width="9" customWidth="1" min="13" max="13"/>
    <col width="9" customWidth="1" min="14" max="14"/>
  </cols>
  <sheetData>
    <row r="1">
      <c r="A1" s="46" t="inlineStr">
        <is>
          <t>Escalation Log</t>
        </is>
      </c>
    </row>
    <row r="2">
      <c r="A2" s="18" t="inlineStr">
        <is>
          <t>Issues taken to a decision-maker, the decision requested, and whether the answer arrived in time.</t>
        </is>
      </c>
    </row>
    <row r="3">
      <c r="A3" s="33" t="inlineStr">
        <is>
          <t xml:space="preserve">Navy headers: enter data. Slate headers with gray cells: calculated, do not overwrite. </t>
        </is>
      </c>
    </row>
    <row r="5" ht="34" customHeight="1">
      <c r="A5" s="47" t="inlineStr">
        <is>
          <t>ID</t>
        </is>
      </c>
      <c r="B5" s="47" t="inlineStr">
        <is>
          <t>Date Raised</t>
        </is>
      </c>
      <c r="C5" s="47" t="inlineStr">
        <is>
          <t>Risk ID</t>
        </is>
      </c>
      <c r="D5" s="47" t="inlineStr">
        <is>
          <t>Objective ID</t>
        </is>
      </c>
      <c r="E5" s="47" t="inlineStr">
        <is>
          <t>Issue</t>
        </is>
      </c>
      <c r="F5" s="47" t="inlineStr">
        <is>
          <t>Escalated To</t>
        </is>
      </c>
      <c r="G5" s="47" t="inlineStr">
        <is>
          <t>Raised By</t>
        </is>
      </c>
      <c r="H5" s="47" t="inlineStr">
        <is>
          <t>Decision or Direction Requested</t>
        </is>
      </c>
      <c r="I5" s="47" t="inlineStr">
        <is>
          <t>Response Due</t>
        </is>
      </c>
      <c r="J5" s="47" t="inlineStr">
        <is>
          <t>Date Resolved</t>
        </is>
      </c>
      <c r="K5" s="47" t="inlineStr">
        <is>
          <t>Decision Made</t>
        </is>
      </c>
      <c r="L5" s="48" t="inlineStr">
        <is>
          <t>Response Status</t>
        </is>
      </c>
      <c r="M5" s="48" t="inlineStr">
        <is>
          <t>Days Open</t>
        </is>
      </c>
      <c r="N5" s="48" t="inlineStr">
        <is>
          <t>Days Past Due</t>
        </is>
      </c>
    </row>
    <row r="6">
      <c r="A6" s="49" t="inlineStr">
        <is>
          <t>ESC-01</t>
        </is>
      </c>
      <c r="B6" s="50" t="n">
        <v>46464</v>
      </c>
      <c r="C6" s="49" t="inlineStr">
        <is>
          <t>RSK-04</t>
        </is>
      </c>
      <c r="D6" s="49" t="inlineStr">
        <is>
          <t>OBJ-4</t>
        </is>
      </c>
      <c r="E6" s="27" t="inlineStr">
        <is>
          <t>Riverton and the County are deadlocked on bridge cost allocation. Term sheet cannot proceed without a County negotiating range.</t>
        </is>
      </c>
      <c r="F6" s="27" t="inlineStr">
        <is>
          <t>Executive Sponsor</t>
        </is>
      </c>
      <c r="G6" s="49" t="inlineStr">
        <is>
          <t>Alicia Brandt</t>
        </is>
      </c>
      <c r="H6" s="27" t="inlineStr">
        <is>
          <t>Authorize a negotiating range for the County share of the nonfederal match.</t>
        </is>
      </c>
      <c r="I6" s="50" t="n">
        <v>46479</v>
      </c>
      <c r="J6" s="50" t="n">
        <v>46478</v>
      </c>
      <c r="K6" s="27" t="inlineStr">
        <is>
          <t>Range authorized. Staff may accept up to 45 percent of the nonfederal share with Deputy County Executive notification.</t>
        </is>
      </c>
      <c r="L6" s="53" t="str">
        <f>IF(tblEscalations[[#This Row],[ID]]="","",IF(tblEscalations[[#This Row],[Date Resolved]]&lt;&gt;"","Resolved",IF(AND(tblEscalations[[#This Row],[Response Due]]&lt;&gt;"",AsOf&gt;tblEscalations[[#This Row],[Response Due]]),"Past Due","Open")))</f>
        <v>Resolved</v>
      </c>
      <c r="M6" s="51">
        <f>IF(tblEscalations[[#This Row],[Date Raised]]="","",IF(tblEscalations[[#This Row],[Date Resolved]]&lt;&gt;"",tblEscalations[[#This Row],[Date Resolved]],AsOf)-tblEscalations[[#This Row],[Date Raised]])</f>
        <v>14</v>
      </c>
      <c r="N6" s="51" t="str">
        <f>IF(tblEscalations[[#This Row],[Response Status]]="Past Due",AsOf-tblEscalations[[#This Row],[Response Due]],"")</f>
        <v/>
      </c>
    </row>
    <row r="7">
      <c r="A7" s="49" t="inlineStr">
        <is>
          <t>ESC-02</t>
        </is>
      </c>
      <c r="B7" s="50" t="n">
        <v>46476</v>
      </c>
      <c r="C7" s="49" t="inlineStr">
        <is>
          <t>RSK-12</t>
        </is>
      </c>
      <c r="D7" s="49" t="inlineStr">
        <is>
          <t>OBJ-1</t>
        </is>
      </c>
      <c r="E7" s="27" t="inlineStr">
        <is>
          <t>HB 530 could reduce the county share of state road funds. The County has no position and the Budget Office estimate is pending.</t>
        </is>
      </c>
      <c r="F7" s="27" t="inlineStr">
        <is>
          <t>Executive Sponsor</t>
        </is>
      </c>
      <c r="G7" s="49" t="inlineStr">
        <is>
          <t>Jordan Pike</t>
        </is>
      </c>
      <c r="H7" s="27" t="inlineStr">
        <is>
          <t>Set the County position on HB 530 once the impact estimate is received.</t>
        </is>
      </c>
      <c r="I7" s="50" t="n">
        <v>46486</v>
      </c>
      <c r="J7" s="50" t="n"/>
      <c r="K7" s="27" t="n"/>
      <c r="L7" s="53" t="str">
        <f>IF(tblEscalations[[#This Row],[ID]]="","",IF(tblEscalations[[#This Row],[Date Resolved]]&lt;&gt;"","Resolved",IF(AND(tblEscalations[[#This Row],[Response Due]]&lt;&gt;"",AsOf&gt;tblEscalations[[#This Row],[Response Due]]),"Past Due","Open")))</f>
        <v>Open</v>
      </c>
      <c r="M7" s="51">
        <f>IF(tblEscalations[[#This Row],[Date Raised]]="","",IF(tblEscalations[[#This Row],[Date Resolved]]&lt;&gt;"",tblEscalations[[#This Row],[Date Resolved]],AsOf)-tblEscalations[[#This Row],[Date Raised]])</f>
        <v>9</v>
      </c>
      <c r="N7" s="51" t="str">
        <f>IF(tblEscalations[[#This Row],[Response Status]]="Past Due",AsOf-tblEscalations[[#This Row],[Response Due]],"")</f>
        <v/>
      </c>
    </row>
    <row r="8">
      <c r="A8" s="49" t="inlineStr">
        <is>
          <t>ESC-03</t>
        </is>
      </c>
      <c r="B8" s="50" t="n">
        <v>46482</v>
      </c>
      <c r="C8" s="49" t="inlineStr">
        <is>
          <t>RSK-02</t>
        </is>
      </c>
      <c r="D8" s="49" t="inlineStr">
        <is>
          <t>OBJ-3</t>
        </is>
      </c>
      <c r="E8" s="27" t="inlineStr">
        <is>
          <t>If SB 214 fails or is amended, the County has no identified source for its share of the match.</t>
        </is>
      </c>
      <c r="F8" s="27" t="inlineStr">
        <is>
          <t>Chief Executive</t>
        </is>
      </c>
      <c r="G8" s="49" t="inlineStr">
        <is>
          <t>Elena Marsh</t>
        </is>
      </c>
      <c r="H8" s="27" t="inlineStr">
        <is>
          <t>Direct the Budget Director to prepare alternate match scenarios before the governor's action window.</t>
        </is>
      </c>
      <c r="I8" s="50" t="n">
        <v>46493</v>
      </c>
      <c r="J8" s="50" t="n"/>
      <c r="K8" s="27" t="n"/>
      <c r="L8" s="53" t="str">
        <f>IF(tblEscalations[[#This Row],[ID]]="","",IF(tblEscalations[[#This Row],[Date Resolved]]&lt;&gt;"","Resolved",IF(AND(tblEscalations[[#This Row],[Response Due]]&lt;&gt;"",AsOf&gt;tblEscalations[[#This Row],[Response Due]]),"Past Due","Open")))</f>
        <v>Open</v>
      </c>
      <c r="M8" s="51">
        <f>IF(tblEscalations[[#This Row],[Date Raised]]="","",IF(tblEscalations[[#This Row],[Date Resolved]]&lt;&gt;"",tblEscalations[[#This Row],[Date Resolved]],AsOf)-tblEscalations[[#This Row],[Date Raised]])</f>
        <v>3</v>
      </c>
      <c r="N8" s="51" t="str">
        <f>IF(tblEscalations[[#This Row],[Response Status]]="Past Due",AsOf-tblEscalations[[#This Row],[Response Due]],"")</f>
        <v/>
      </c>
    </row>
    <row r="9">
      <c r="A9" s="49" t="inlineStr">
        <is>
          <t>ESC-04</t>
        </is>
      </c>
      <c r="B9" s="50" t="n">
        <v>46442</v>
      </c>
      <c r="C9" s="49" t="inlineStr">
        <is>
          <t>RSK-10</t>
        </is>
      </c>
      <c r="D9" s="49" t="inlineStr">
        <is>
          <t>OBJ-2</t>
        </is>
      </c>
      <c r="E9" s="27" t="inlineStr">
        <is>
          <t>A commissioner commented publicly on HB 388 in terms that differ from the cleared position.</t>
        </is>
      </c>
      <c r="F9" s="27" t="inlineStr">
        <is>
          <t>Governing Board</t>
        </is>
      </c>
      <c r="G9" s="49" t="inlineStr">
        <is>
          <t>Elena Marsh</t>
        </is>
      </c>
      <c r="H9" s="27" t="inlineStr">
        <is>
          <t>Board Chair to remind commissioners to use cleared language.</t>
        </is>
      </c>
      <c r="I9" s="50" t="n">
        <v>46444</v>
      </c>
      <c r="J9" s="50" t="n">
        <v>46444</v>
      </c>
      <c r="K9" s="27" t="inlineStr">
        <is>
          <t>Chair briefed. Commissioner agreed to use cleared language. No further statements.</t>
        </is>
      </c>
      <c r="L9" s="53" t="str">
        <f>IF(tblEscalations[[#This Row],[ID]]="","",IF(tblEscalations[[#This Row],[Date Resolved]]&lt;&gt;"","Resolved",IF(AND(tblEscalations[[#This Row],[Response Due]]&lt;&gt;"",AsOf&gt;tblEscalations[[#This Row],[Response Due]]),"Past Due","Open")))</f>
        <v>Resolved</v>
      </c>
      <c r="M9" s="51">
        <f>IF(tblEscalations[[#This Row],[Date Raised]]="","",IF(tblEscalations[[#This Row],[Date Resolved]]&lt;&gt;"",tblEscalations[[#This Row],[Date Resolved]],AsOf)-tblEscalations[[#This Row],[Date Raised]])</f>
        <v>2</v>
      </c>
      <c r="N9" s="51" t="str">
        <f>IF(tblEscalations[[#This Row],[Response Status]]="Past Due",AsOf-tblEscalations[[#This Row],[Response Due]],"")</f>
        <v/>
      </c>
    </row>
    <row r="10">
      <c r="A10" s="49" t="inlineStr">
        <is>
          <t>ESC-05</t>
        </is>
      </c>
      <c r="B10" s="50" t="n">
        <v>46454</v>
      </c>
      <c r="C10" s="49" t="inlineStr">
        <is>
          <t>RSK-07</t>
        </is>
      </c>
      <c r="D10" s="49" t="inlineStr">
        <is>
          <t>OBJ-5</t>
        </is>
      </c>
      <c r="E10" s="27" t="inlineStr">
        <is>
          <t>The Tribal Nation's staff asked for a written invitation from the County Executive. The signature is overdue and leader-level scheduling depends on it.</t>
        </is>
      </c>
      <c r="F10" s="27" t="inlineStr">
        <is>
          <t>Chief Executive</t>
        </is>
      </c>
      <c r="G10" s="49" t="inlineStr">
        <is>
          <t>Elena Marsh</t>
        </is>
      </c>
      <c r="H10" s="27" t="inlineStr">
        <is>
          <t>Sign and send the invitation letter to the Tribal Chairperson.</t>
        </is>
      </c>
      <c r="I10" s="50" t="n">
        <v>46468</v>
      </c>
      <c r="J10" s="50" t="n"/>
      <c r="K10" s="27" t="n"/>
      <c r="L10" s="53" t="str">
        <f>IF(tblEscalations[[#This Row],[ID]]="","",IF(tblEscalations[[#This Row],[Date Resolved]]&lt;&gt;"","Resolved",IF(AND(tblEscalations[[#This Row],[Response Due]]&lt;&gt;"",AsOf&gt;tblEscalations[[#This Row],[Response Due]]),"Past Due","Open")))</f>
        <v>Past Due</v>
      </c>
      <c r="M10" s="51">
        <f>IF(tblEscalations[[#This Row],[Date Raised]]="","",IF(tblEscalations[[#This Row],[Date Resolved]]&lt;&gt;"",tblEscalations[[#This Row],[Date Resolved]],AsOf)-tblEscalations[[#This Row],[Date Raised]])</f>
        <v>31</v>
      </c>
      <c r="N10" s="51">
        <f>IF(tblEscalations[[#This Row],[Response Status]]="Past Due",AsOf-tblEscalations[[#This Row],[Response Due]],"")</f>
        <v>17</v>
      </c>
    </row>
    <row r="11">
      <c r="A11" s="49" t="n"/>
      <c r="B11" s="50" t="n"/>
      <c r="C11" s="49" t="n"/>
      <c r="D11" s="49" t="n"/>
      <c r="E11" s="27" t="n"/>
      <c r="F11" s="27" t="n"/>
      <c r="G11" s="49" t="n"/>
      <c r="H11" s="27" t="n"/>
      <c r="I11" s="50" t="n"/>
      <c r="J11" s="50" t="n"/>
      <c r="K11" s="27" t="n"/>
      <c r="L11" s="53" t="str">
        <f>IF(tblEscalations[[#This Row],[ID]]="","",IF(tblEscalations[[#This Row],[Date Resolved]]&lt;&gt;"","Resolved",IF(AND(tblEscalations[[#This Row],[Response Due]]&lt;&gt;"",AsOf&gt;tblEscalations[[#This Row],[Response Due]]),"Past Due","Open")))</f>
        <v/>
      </c>
      <c r="M11" s="51" t="str">
        <f>IF(tblEscalations[[#This Row],[Date Raised]]="","",IF(tblEscalations[[#This Row],[Date Resolved]]&lt;&gt;"",tblEscalations[[#This Row],[Date Resolved]],AsOf)-tblEscalations[[#This Row],[Date Raised]])</f>
        <v/>
      </c>
      <c r="N11" s="51" t="str">
        <f>IF(tblEscalations[[#This Row],[Response Status]]="Past Due",AsOf-tblEscalations[[#This Row],[Response Due]],"")</f>
        <v/>
      </c>
    </row>
    <row r="12">
      <c r="A12" s="49" t="n"/>
      <c r="B12" s="50" t="n"/>
      <c r="C12" s="49" t="n"/>
      <c r="D12" s="49" t="n"/>
      <c r="E12" s="27" t="n"/>
      <c r="F12" s="27" t="n"/>
      <c r="G12" s="49" t="n"/>
      <c r="H12" s="27" t="n"/>
      <c r="I12" s="50" t="n"/>
      <c r="J12" s="50" t="n"/>
      <c r="K12" s="27" t="n"/>
      <c r="L12" s="53" t="str">
        <f>IF(tblEscalations[[#This Row],[ID]]="","",IF(tblEscalations[[#This Row],[Date Resolved]]&lt;&gt;"","Resolved",IF(AND(tblEscalations[[#This Row],[Response Due]]&lt;&gt;"",AsOf&gt;tblEscalations[[#This Row],[Response Due]]),"Past Due","Open")))</f>
        <v/>
      </c>
      <c r="M12" s="51" t="str">
        <f>IF(tblEscalations[[#This Row],[Date Raised]]="","",IF(tblEscalations[[#This Row],[Date Resolved]]&lt;&gt;"",tblEscalations[[#This Row],[Date Resolved]],AsOf)-tblEscalations[[#This Row],[Date Raised]])</f>
        <v/>
      </c>
      <c r="N12" s="51" t="str">
        <f>IF(tblEscalations[[#This Row],[Response Status]]="Past Due",AsOf-tblEscalations[[#This Row],[Response Due]],"")</f>
        <v/>
      </c>
    </row>
    <row r="13">
      <c r="A13" s="49" t="n"/>
      <c r="B13" s="50" t="n"/>
      <c r="C13" s="49" t="n"/>
      <c r="D13" s="49" t="n"/>
      <c r="E13" s="27" t="n"/>
      <c r="F13" s="27" t="n"/>
      <c r="G13" s="49" t="n"/>
      <c r="H13" s="27" t="n"/>
      <c r="I13" s="50" t="n"/>
      <c r="J13" s="50" t="n"/>
      <c r="K13" s="27" t="n"/>
      <c r="L13" s="53" t="str">
        <f>IF(tblEscalations[[#This Row],[ID]]="","",IF(tblEscalations[[#This Row],[Date Resolved]]&lt;&gt;"","Resolved",IF(AND(tblEscalations[[#This Row],[Response Due]]&lt;&gt;"",AsOf&gt;tblEscalations[[#This Row],[Response Due]]),"Past Due","Open")))</f>
        <v/>
      </c>
      <c r="M13" s="51" t="str">
        <f>IF(tblEscalations[[#This Row],[Date Raised]]="","",IF(tblEscalations[[#This Row],[Date Resolved]]&lt;&gt;"",tblEscalations[[#This Row],[Date Resolved]],AsOf)-tblEscalations[[#This Row],[Date Raised]])</f>
        <v/>
      </c>
      <c r="N13" s="51" t="str">
        <f>IF(tblEscalations[[#This Row],[Response Status]]="Past Due",AsOf-tblEscalations[[#This Row],[Response Due]],"")</f>
        <v/>
      </c>
    </row>
    <row r="14">
      <c r="A14" s="49" t="n"/>
      <c r="B14" s="50" t="n"/>
      <c r="C14" s="49" t="n"/>
      <c r="D14" s="49" t="n"/>
      <c r="E14" s="27" t="n"/>
      <c r="F14" s="27" t="n"/>
      <c r="G14" s="49" t="n"/>
      <c r="H14" s="27" t="n"/>
      <c r="I14" s="50" t="n"/>
      <c r="J14" s="50" t="n"/>
      <c r="K14" s="27" t="n"/>
      <c r="L14" s="53" t="str">
        <f>IF(tblEscalations[[#This Row],[ID]]="","",IF(tblEscalations[[#This Row],[Date Resolved]]&lt;&gt;"","Resolved",IF(AND(tblEscalations[[#This Row],[Response Due]]&lt;&gt;"",AsOf&gt;tblEscalations[[#This Row],[Response Due]]),"Past Due","Open")))</f>
        <v/>
      </c>
      <c r="M14" s="51" t="str">
        <f>IF(tblEscalations[[#This Row],[Date Raised]]="","",IF(tblEscalations[[#This Row],[Date Resolved]]&lt;&gt;"",tblEscalations[[#This Row],[Date Resolved]],AsOf)-tblEscalations[[#This Row],[Date Raised]])</f>
        <v/>
      </c>
      <c r="N14" s="51" t="str">
        <f>IF(tblEscalations[[#This Row],[Response Status]]="Past Due",AsOf-tblEscalations[[#This Row],[Response Due]],"")</f>
        <v/>
      </c>
    </row>
    <row r="15">
      <c r="A15" s="49" t="n"/>
      <c r="B15" s="50" t="n"/>
      <c r="C15" s="49" t="n"/>
      <c r="D15" s="49" t="n"/>
      <c r="E15" s="27" t="n"/>
      <c r="F15" s="27" t="n"/>
      <c r="G15" s="49" t="n"/>
      <c r="H15" s="27" t="n"/>
      <c r="I15" s="50" t="n"/>
      <c r="J15" s="50" t="n"/>
      <c r="K15" s="27" t="n"/>
      <c r="L15" s="53" t="str">
        <f>IF(tblEscalations[[#This Row],[ID]]="","",IF(tblEscalations[[#This Row],[Date Resolved]]&lt;&gt;"","Resolved",IF(AND(tblEscalations[[#This Row],[Response Due]]&lt;&gt;"",AsOf&gt;tblEscalations[[#This Row],[Response Due]]),"Past Due","Open")))</f>
        <v/>
      </c>
      <c r="M15" s="51" t="str">
        <f>IF(tblEscalations[[#This Row],[Date Raised]]="","",IF(tblEscalations[[#This Row],[Date Resolved]]&lt;&gt;"",tblEscalations[[#This Row],[Date Resolved]],AsOf)-tblEscalations[[#This Row],[Date Raised]])</f>
        <v/>
      </c>
      <c r="N15" s="51" t="str">
        <f>IF(tblEscalations[[#This Row],[Response Status]]="Past Due",AsOf-tblEscalations[[#This Row],[Response Due]],"")</f>
        <v/>
      </c>
    </row>
    <row r="16">
      <c r="A16" s="49" t="n"/>
      <c r="B16" s="50" t="n"/>
      <c r="C16" s="49" t="n"/>
      <c r="D16" s="49" t="n"/>
      <c r="E16" s="27" t="n"/>
      <c r="F16" s="27" t="n"/>
      <c r="G16" s="49" t="n"/>
      <c r="H16" s="27" t="n"/>
      <c r="I16" s="50" t="n"/>
      <c r="J16" s="50" t="n"/>
      <c r="K16" s="27" t="n"/>
      <c r="L16" s="53" t="str">
        <f>IF(tblEscalations[[#This Row],[ID]]="","",IF(tblEscalations[[#This Row],[Date Resolved]]&lt;&gt;"","Resolved",IF(AND(tblEscalations[[#This Row],[Response Due]]&lt;&gt;"",AsOf&gt;tblEscalations[[#This Row],[Response Due]]),"Past Due","Open")))</f>
        <v/>
      </c>
      <c r="M16" s="51" t="str">
        <f>IF(tblEscalations[[#This Row],[Date Raised]]="","",IF(tblEscalations[[#This Row],[Date Resolved]]&lt;&gt;"",tblEscalations[[#This Row],[Date Resolved]],AsOf)-tblEscalations[[#This Row],[Date Raised]])</f>
        <v/>
      </c>
      <c r="N16" s="51" t="str">
        <f>IF(tblEscalations[[#This Row],[Response Status]]="Past Due",AsOf-tblEscalations[[#This Row],[Response Due]],"")</f>
        <v/>
      </c>
    </row>
    <row r="17">
      <c r="A17" s="49" t="n"/>
      <c r="B17" s="50" t="n"/>
      <c r="C17" s="49" t="n"/>
      <c r="D17" s="49" t="n"/>
      <c r="E17" s="27" t="n"/>
      <c r="F17" s="27" t="n"/>
      <c r="G17" s="49" t="n"/>
      <c r="H17" s="27" t="n"/>
      <c r="I17" s="50" t="n"/>
      <c r="J17" s="50" t="n"/>
      <c r="K17" s="27" t="n"/>
      <c r="L17" s="53" t="str">
        <f>IF(tblEscalations[[#This Row],[ID]]="","",IF(tblEscalations[[#This Row],[Date Resolved]]&lt;&gt;"","Resolved",IF(AND(tblEscalations[[#This Row],[Response Due]]&lt;&gt;"",AsOf&gt;tblEscalations[[#This Row],[Response Due]]),"Past Due","Open")))</f>
        <v/>
      </c>
      <c r="M17" s="51" t="str">
        <f>IF(tblEscalations[[#This Row],[Date Raised]]="","",IF(tblEscalations[[#This Row],[Date Resolved]]&lt;&gt;"",tblEscalations[[#This Row],[Date Resolved]],AsOf)-tblEscalations[[#This Row],[Date Raised]])</f>
        <v/>
      </c>
      <c r="N17" s="51" t="str">
        <f>IF(tblEscalations[[#This Row],[Response Status]]="Past Due",AsOf-tblEscalations[[#This Row],[Response Due]],"")</f>
        <v/>
      </c>
    </row>
    <row r="18">
      <c r="A18" s="49" t="n"/>
      <c r="B18" s="50" t="n"/>
      <c r="C18" s="49" t="n"/>
      <c r="D18" s="49" t="n"/>
      <c r="E18" s="27" t="n"/>
      <c r="F18" s="27" t="n"/>
      <c r="G18" s="49" t="n"/>
      <c r="H18" s="27" t="n"/>
      <c r="I18" s="50" t="n"/>
      <c r="J18" s="50" t="n"/>
      <c r="K18" s="27" t="n"/>
      <c r="L18" s="53" t="str">
        <f>IF(tblEscalations[[#This Row],[ID]]="","",IF(tblEscalations[[#This Row],[Date Resolved]]&lt;&gt;"","Resolved",IF(AND(tblEscalations[[#This Row],[Response Due]]&lt;&gt;"",AsOf&gt;tblEscalations[[#This Row],[Response Due]]),"Past Due","Open")))</f>
        <v/>
      </c>
      <c r="M18" s="51" t="str">
        <f>IF(tblEscalations[[#This Row],[Date Raised]]="","",IF(tblEscalations[[#This Row],[Date Resolved]]&lt;&gt;"",tblEscalations[[#This Row],[Date Resolved]],AsOf)-tblEscalations[[#This Row],[Date Raised]])</f>
        <v/>
      </c>
      <c r="N18" s="51" t="str">
        <f>IF(tblEscalations[[#This Row],[Response Status]]="Past Due",AsOf-tblEscalations[[#This Row],[Response Due]],"")</f>
        <v/>
      </c>
    </row>
  </sheetData>
  <conditionalFormatting sqref="L6:L18">
    <cfRule type="cellIs" priority="1" operator="equal" dxfId="4">
      <formula>"Past Due"</formula>
    </cfRule>
    <cfRule type="cellIs" priority="2" operator="equal" dxfId="3">
      <formula>"Open"</formula>
    </cfRule>
    <cfRule type="cellIs" priority="3" operator="equal" dxfId="1">
      <formula>"Resolved"</formula>
    </cfRule>
  </conditionalFormatting>
  <dataValidations count="7">
    <dataValidation sqref="B6:B18" showDropDown="0" showInputMessage="0" showErrorMessage="1" allowBlank="1" errorTitle="Enter a date" error="Enter a valid date, for example 4/15/2027." type="date" errorStyle="stop" operator="greaterThanOrEqual">
      <formula1>36526</formula1>
    </dataValidation>
    <dataValidation sqref="C6:C18" showDropDown="0" showInputMessage="0" showErrorMessage="1" allowBlank="1" errorTitle="Choose from the list" error="Pick a value from the dropdown. Edit the lists on the Lists sheet." type="list" errorStyle="stop">
      <formula1>=rngRiskIDs</formula1>
    </dataValidation>
    <dataValidation sqref="D6:D18" showDropDown="0" showInputMessage="0" showErrorMessage="1" allowBlank="1" errorTitle="Choose from the list" error="Pick a value from the dropdown. Edit the lists on the Lists sheet." type="list" errorStyle="stop">
      <formula1>=rngObjIDs</formula1>
    </dataValidation>
    <dataValidation sqref="F6:F18" showDropDown="0" showInputMessage="0" showErrorMessage="1" allowBlank="1" errorTitle="Choose from the list" error="Pick a value from the dropdown. Edit the lists on the Lists sheet." type="list" errorStyle="stop">
      <formula1>=lstEscTo</formula1>
    </dataValidation>
    <dataValidation sqref="G6:G18" showDropDown="0" showInputMessage="0" showErrorMessage="1" allowBlank="1" errorTitle="Name not on the People list" error="This name is not on the People list on the Lists sheet. Add it there, or continue to keep what you typed." type="list" errorStyle="warning">
      <formula1>=lstPeople</formula1>
    </dataValidation>
    <dataValidation sqref="I6:I18" showDropDown="0" showInputMessage="0" showErrorMessage="1" allowBlank="1" errorTitle="Enter a date" error="Enter a valid date, for example 4/15/2027." type="date" errorStyle="stop" operator="greaterThanOrEqual">
      <formula1>36526</formula1>
    </dataValidation>
    <dataValidation sqref="J6:J18" showDropDown="0" showInputMessage="0" showErrorMessage="1" allowBlank="1" errorTitle="Enter a date" error="Enter a valid date, for example 4/15/2027." type="date" errorStyle="stop" operator="greaterThanOrEqual">
      <formula1>36526</formula1>
    </dataValidation>
  </dataValidations>
  <pageMargins left="0.5" right="0.5" top="1" bottom="1" header="0.5" footer="0.5"/>
  <pageSetup orientation="landscape" fitToHeight="0" fitToWidth="1"/>
  <headerFooter>
    <oddHeader/>
    <oddFooter>&amp;L&amp;8 Intergov Association | Strategic Plan Tracker&amp;R&amp;8 &amp;A | Page &amp;P of &amp;N</oddFooter>
    <evenHeader/>
    <evenFooter/>
    <firstHeader/>
    <firstFooter/>
  </headerFooter>
  <tableParts count="1">
    <tablePart xmlns:r="http://schemas.openxmlformats.org/officeDocument/2006/relationships" r:id="rId1"/>
  </tableParts>
</worksheet>
</file>

<file path=xl/worksheets/sheet10.xml><?xml version="1.0" encoding="utf-8"?>
<worksheet xmlns="http://schemas.openxmlformats.org/spreadsheetml/2006/main">
  <sheetPr>
    <tabColor rgb="00192E43"/>
    <outlinePr summaryBelow="1" summaryRight="1"/>
    <pageSetUpPr fitToPage="1"/>
  </sheetPr>
  <dimension ref="A1:M29"/>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9" customWidth="1" min="1" max="1"/>
    <col width="11" customWidth="1" min="2" max="2"/>
    <col width="34" customWidth="1" min="3" max="3"/>
    <col width="12" customWidth="1" min="4" max="4"/>
    <col width="12" customWidth="1" min="5" max="5"/>
    <col width="50" customWidth="1" min="6" max="6"/>
    <col width="44" customWidth="1" min="7" max="7"/>
    <col width="44" customWidth="1" min="8" max="8"/>
    <col width="36" customWidth="1" min="9" max="9"/>
    <col width="22" customWidth="1" min="10" max="10"/>
    <col width="12" customWidth="1" min="11" max="11"/>
    <col width="12" customWidth="1" min="12" max="12"/>
    <col width="12" customWidth="1" min="13" max="13"/>
  </cols>
  <sheetData>
    <row r="1">
      <c r="A1" s="46" t="inlineStr">
        <is>
          <t>Quarterly Performance Review</t>
        </is>
      </c>
    </row>
    <row r="2">
      <c r="A2" s="18" t="inlineStr">
        <is>
          <t>One row per objective per quarter. Record the status, the evidence, the variance, and what you changed.</t>
        </is>
      </c>
    </row>
    <row r="3">
      <c r="A3" s="33" t="inlineStr">
        <is>
          <t xml:space="preserve">Navy headers: enter data. Slate headers with gray cells: calculated, do not overwrite. </t>
        </is>
      </c>
    </row>
    <row r="5" ht="34" customHeight="1">
      <c r="A5" s="47" t="inlineStr">
        <is>
          <t>Quarter</t>
        </is>
      </c>
      <c r="B5" s="47" t="inlineStr">
        <is>
          <t>Objective ID</t>
        </is>
      </c>
      <c r="C5" s="48" t="inlineStr">
        <is>
          <t>Objective</t>
        </is>
      </c>
      <c r="D5" s="47" t="inlineStr">
        <is>
          <t>Review Date</t>
        </is>
      </c>
      <c r="E5" s="47" t="inlineStr">
        <is>
          <t>Status</t>
        </is>
      </c>
      <c r="F5" s="47" t="inlineStr">
        <is>
          <t>Evidence of Progress</t>
        </is>
      </c>
      <c r="G5" s="47" t="inlineStr">
        <is>
          <t>Variance and Cause</t>
        </is>
      </c>
      <c r="H5" s="47" t="inlineStr">
        <is>
          <t>Adjustment Made</t>
        </is>
      </c>
      <c r="I5" s="47" t="inlineStr">
        <is>
          <t>Leadership Decision Needed</t>
        </is>
      </c>
      <c r="J5" s="47" t="inlineStr">
        <is>
          <t>Reviewed By</t>
        </is>
      </c>
      <c r="K5" s="48" t="inlineStr">
        <is>
          <t>Key</t>
        </is>
      </c>
      <c r="L5" s="48" t="inlineStr">
        <is>
          <t>Prior Status</t>
        </is>
      </c>
      <c r="M5" s="48" t="inlineStr">
        <is>
          <t>Movement</t>
        </is>
      </c>
    </row>
    <row r="6">
      <c r="A6" s="56" t="inlineStr">
        <is>
          <t>Q1</t>
        </is>
      </c>
      <c r="B6" s="49" t="inlineStr">
        <is>
          <t>OBJ-1</t>
        </is>
      </c>
      <c r="C6" s="53" t="str">
        <f>IF(tblQuarterly[[#This Row],[Objective ID]]="","",IFERROR(INDEX(tblObjectives[Objective],MATCH(tblQuarterly[[#This Row],[Objective ID]],tblObjectives[ID],0)),""))</f>
        <v>Secure state enabling authority for a county transportation local-option sales tax</v>
      </c>
      <c r="D6" s="50" t="n">
        <v>46483</v>
      </c>
      <c r="E6" s="49" t="inlineStr">
        <is>
          <t>On Track</t>
        </is>
      </c>
      <c r="F6" s="27" t="inlineStr">
        <is>
          <t>SB 214 filed Jan 26, reported favorably by the Senate committee Feb 24, and passed the Senate Mar 10. House committee vote set for Apr 14.</t>
        </is>
      </c>
      <c r="G6" s="27" t="inlineStr">
        <is>
          <t>No schedule variance. HB 530 is a new exposure that could reduce state road funds before local revenue arrives.</t>
        </is>
      </c>
      <c r="H6" s="27" t="inlineStr">
        <is>
          <t>Added HB 530 as a tracked priority. Requested Budget Office impact estimate.</t>
        </is>
      </c>
      <c r="I6" s="27" t="inlineStr">
        <is>
          <t>Position on HB 530 from the Deputy County Executive by Apr 9.</t>
        </is>
      </c>
      <c r="J6" s="27" t="inlineStr">
        <is>
          <t>Elena Marsh; Priya Raman</t>
        </is>
      </c>
      <c r="K6" s="53" t="str">
        <f>IF(OR(tblQuarterly[[#This Row],[Quarter]]="",tblQuarterly[[#This Row],[Objective ID]]=""),"",tblQuarterly[[#This Row],[Quarter]]&amp;"|"&amp;tblQuarterly[[#This Row],[Objective ID]])</f>
        <v>Q1|OBJ-1</v>
      </c>
      <c r="L6" s="53" t="str">
        <f>IF(tblQuarterly[[#This Row],[Key]]="","",IFERROR(INDEX(tblQuarterly[Status],MATCH("Q"&amp;(VALUE(MID(tblQuarterly[[#This Row],[Quarter]],2,1))-1)&amp;"|"&amp;tblQuarterly[[#This Row],[Objective ID]],tblQuarterly[Key],0)),""))</f>
        <v/>
      </c>
      <c r="M6" s="53"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First Review</v>
      </c>
    </row>
    <row r="7">
      <c r="A7" s="56" t="inlineStr">
        <is>
          <t>Q1</t>
        </is>
      </c>
      <c r="B7" s="49" t="inlineStr">
        <is>
          <t>OBJ-2</t>
        </is>
      </c>
      <c r="C7" s="53" t="str">
        <f>IF(tblQuarterly[[#This Row],[Objective ID]]="","",IFERROR(INDEX(tblObjectives[Objective],MATCH(tblQuarterly[[#This Row],[Objective ID]],tblObjectives[ID],0)),""))</f>
        <v>Preserve county stormwater and permitting standards in state uniformity legislation</v>
      </c>
      <c r="D7" s="50" t="n">
        <v>46483</v>
      </c>
      <c r="E7" s="49" t="inlineStr">
        <is>
          <t>On Track</t>
        </is>
      </c>
      <c r="F7" s="27" t="inlineStr">
        <is>
          <t>Position cleared Feb 2. Opt-out amendment adopted in House committee Mar 4 and the amended bill passed the House. Senate committee action set for Apr 16.</t>
        </is>
      </c>
      <c r="G7" s="27" t="inlineStr">
        <is>
          <t>Amendment markup moved one week at the committee's request. Sponsor intends to seek removal of the opt-out.</t>
        </is>
      </c>
      <c r="H7" s="27" t="inlineStr">
        <is>
          <t>Added the state stormwater permit rule as a parallel priority so comments reflect the legislative outcome.</t>
        </is>
      </c>
      <c r="I7" s="27" t="inlineStr">
        <is>
          <t>None.</t>
        </is>
      </c>
      <c r="J7" s="27" t="inlineStr">
        <is>
          <t>Elena Marsh; Priya Raman</t>
        </is>
      </c>
      <c r="K7" s="53" t="str">
        <f>IF(OR(tblQuarterly[[#This Row],[Quarter]]="",tblQuarterly[[#This Row],[Objective ID]]=""),"",tblQuarterly[[#This Row],[Quarter]]&amp;"|"&amp;tblQuarterly[[#This Row],[Objective ID]])</f>
        <v>Q1|OBJ-2</v>
      </c>
      <c r="L7" s="53" t="str">
        <f>IF(tblQuarterly[[#This Row],[Key]]="","",IFERROR(INDEX(tblQuarterly[Status],MATCH("Q"&amp;(VALUE(MID(tblQuarterly[[#This Row],[Quarter]],2,1))-1)&amp;"|"&amp;tblQuarterly[[#This Row],[Objective ID]],tblQuarterly[Key],0)),""))</f>
        <v/>
      </c>
      <c r="M7" s="53"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First Review</v>
      </c>
    </row>
    <row r="8">
      <c r="A8" s="56" t="inlineStr">
        <is>
          <t>Q1</t>
        </is>
      </c>
      <c r="B8" s="49" t="inlineStr">
        <is>
          <t>OBJ-3</t>
        </is>
      </c>
      <c r="C8" s="53" t="str">
        <f>IF(tblQuarterly[[#This Row],[Objective ID]]="","",IFERROR(INDEX(tblObjectives[Objective],MATCH(tblQuarterly[[#This Row],[Objective ID]],tblObjectives[ID],0)),""))</f>
        <v>Position the Calloway River Bridge replacement for a competitive federal discretionary grant</v>
      </c>
      <c r="D8" s="50" t="n">
        <v>46483</v>
      </c>
      <c r="E8" s="49" t="inlineStr">
        <is>
          <t>At Risk</t>
        </is>
      </c>
      <c r="F8" s="27" t="inlineStr">
        <is>
          <t>Go decision made Feb 25. Pre-application meeting held Mar 24. State DOT requires an executed local agreement before it commits match.</t>
        </is>
      </c>
      <c r="G8" s="27" t="inlineStr">
        <is>
          <t>Written questions to the regional office are six days late. Harlan County overlap is unaddressed. Notice timing is unconfirmed.</t>
        </is>
      </c>
      <c r="H8" s="27" t="inlineStr">
        <is>
          <t>Moved delegation letter request to May 14 to follow Harlan coordination. Added Harlan milestone. Added Board match decision to the Jun 8 calendar.</t>
        </is>
      </c>
      <c r="I8" s="27" t="inlineStr">
        <is>
          <t>County Executive direction on match fallback scenarios by Apr 16.</t>
        </is>
      </c>
      <c r="J8" s="27" t="inlineStr">
        <is>
          <t>Elena Marsh; Priya Raman</t>
        </is>
      </c>
      <c r="K8" s="53" t="str">
        <f>IF(OR(tblQuarterly[[#This Row],[Quarter]]="",tblQuarterly[[#This Row],[Objective ID]]=""),"",tblQuarterly[[#This Row],[Quarter]]&amp;"|"&amp;tblQuarterly[[#This Row],[Objective ID]])</f>
        <v>Q1|OBJ-3</v>
      </c>
      <c r="L8" s="53" t="str">
        <f>IF(tblQuarterly[[#This Row],[Key]]="","",IFERROR(INDEX(tblQuarterly[Status],MATCH("Q"&amp;(VALUE(MID(tblQuarterly[[#This Row],[Quarter]],2,1))-1)&amp;"|"&amp;tblQuarterly[[#This Row],[Objective ID]],tblQuarterly[Key],0)),""))</f>
        <v/>
      </c>
      <c r="M8" s="53"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First Review</v>
      </c>
    </row>
    <row r="9">
      <c r="A9" s="56" t="inlineStr">
        <is>
          <t>Q1</t>
        </is>
      </c>
      <c r="B9" s="49" t="inlineStr">
        <is>
          <t>OBJ-4</t>
        </is>
      </c>
      <c r="C9" s="53" t="str">
        <f>IF(tblQuarterly[[#This Row],[Objective ID]]="","",IFERROR(INDEX(tblObjectives[Objective],MATCH(tblQuarterly[[#This Row],[Objective ID]],tblObjectives[ID],0)),""))</f>
        <v>Execute the Calloway River Bridge interlocal agreement</v>
      </c>
      <c r="D9" s="50" t="n">
        <v>46483</v>
      </c>
      <c r="E9" s="49" t="inlineStr">
        <is>
          <t>At Risk</t>
        </is>
      </c>
      <c r="F9" s="27" t="inlineStr">
        <is>
          <t>Three allocation models identified Feb 16. Stalemate escalated Mar 18 and resolved Apr 1 with a negotiating range. County proposal delivered Apr 1.</t>
        </is>
      </c>
      <c r="G9" s="27" t="inlineStr">
        <is>
          <t>Term sheet milestone slipped 14 days to May 14.</t>
        </is>
      </c>
      <c r="H9" s="27" t="inlineStr">
        <is>
          <t>Revised term sheet date. Kept the Aug 31 execution target because governing body calendars leave two meeting cycles of margin.</t>
        </is>
      </c>
      <c r="I9" s="27" t="inlineStr">
        <is>
          <t>None pending. Riverton response due Apr 15.</t>
        </is>
      </c>
      <c r="J9" s="27" t="inlineStr">
        <is>
          <t>Elena Marsh; Priya Raman</t>
        </is>
      </c>
      <c r="K9" s="53" t="str">
        <f>IF(OR(tblQuarterly[[#This Row],[Quarter]]="",tblQuarterly[[#This Row],[Objective ID]]=""),"",tblQuarterly[[#This Row],[Quarter]]&amp;"|"&amp;tblQuarterly[[#This Row],[Objective ID]])</f>
        <v>Q1|OBJ-4</v>
      </c>
      <c r="L9" s="53" t="str">
        <f>IF(tblQuarterly[[#This Row],[Key]]="","",IFERROR(INDEX(tblQuarterly[Status],MATCH("Q"&amp;(VALUE(MID(tblQuarterly[[#This Row],[Quarter]],2,1))-1)&amp;"|"&amp;tblQuarterly[[#This Row],[Objective ID]],tblQuarterly[Key],0)),""))</f>
        <v/>
      </c>
      <c r="M9" s="53"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First Review</v>
      </c>
    </row>
    <row r="10">
      <c r="A10" s="56" t="inlineStr">
        <is>
          <t>Q1</t>
        </is>
      </c>
      <c r="B10" s="49" t="inlineStr">
        <is>
          <t>OBJ-5</t>
        </is>
      </c>
      <c r="C10" s="53" t="str">
        <f>IF(tblQuarterly[[#This Row],[Objective ID]]="","",IFERROR(INDEX(tblObjectives[Objective],MATCH(tblQuarterly[[#This Row],[Objective ID]],tblObjectives[ID],0)),""))</f>
        <v>Establish a standing coordination process with the Three Fords Tribal Nation</v>
      </c>
      <c r="D10" s="50" t="n">
        <v>46483</v>
      </c>
      <c r="E10" s="49" t="inlineStr">
        <is>
          <t>Off Track</t>
        </is>
      </c>
      <c r="F10" s="27" t="inlineStr">
        <is>
          <t>Staff introduction held Feb 10. The Nation's staff asked for a written invitation from the County Executive. Letter drafted and cleared Mar 22.</t>
        </is>
      </c>
      <c r="G10" s="27" t="inlineStr">
        <is>
          <t>Invitation letter signature is overdue. The May 21 leader-level meeting target requires scheduling lead time that is now shrinking.</t>
        </is>
      </c>
      <c r="H10" s="27" t="inlineStr">
        <is>
          <t>Offered an interim staff-level exchange of corridor information through the Cultural Resources Department. Escalated the signature request.</t>
        </is>
      </c>
      <c r="I10" s="27" t="inlineStr">
        <is>
          <t>County Executive signature on the invitation letter by Apr 16.</t>
        </is>
      </c>
      <c r="J10" s="27" t="inlineStr">
        <is>
          <t>Elena Marsh; Priya Raman</t>
        </is>
      </c>
      <c r="K10" s="53" t="str">
        <f>IF(OR(tblQuarterly[[#This Row],[Quarter]]="",tblQuarterly[[#This Row],[Objective ID]]=""),"",tblQuarterly[[#This Row],[Quarter]]&amp;"|"&amp;tblQuarterly[[#This Row],[Objective ID]])</f>
        <v>Q1|OBJ-5</v>
      </c>
      <c r="L10" s="53" t="str">
        <f>IF(tblQuarterly[[#This Row],[Key]]="","",IFERROR(INDEX(tblQuarterly[Status],MATCH("Q"&amp;(VALUE(MID(tblQuarterly[[#This Row],[Quarter]],2,1))-1)&amp;"|"&amp;tblQuarterly[[#This Row],[Objective ID]],tblQuarterly[Key],0)),""))</f>
        <v/>
      </c>
      <c r="M10" s="53"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First Review</v>
      </c>
    </row>
    <row r="11">
      <c r="A11" s="56" t="inlineStr">
        <is>
          <t>Q1</t>
        </is>
      </c>
      <c r="B11" s="49" t="inlineStr">
        <is>
          <t>OBJ-6</t>
        </is>
      </c>
      <c r="C11" s="53" t="str">
        <f>IF(tblQuarterly[[#This Row],[Objective ID]]="","",IFERROR(INDEX(tblObjectives[Objective],MATCH(tblQuarterly[[#This Row],[Objective ID]],tblObjectives[ID],0)),""))</f>
        <v>Establish one executive reporting and position-clearance process</v>
      </c>
      <c r="D11" s="50" t="n">
        <v>46483</v>
      </c>
      <c r="E11" s="49" t="inlineStr">
        <is>
          <t>On Track</t>
        </is>
      </c>
      <c r="F11" s="27" t="inlineStr">
        <is>
          <t>Protocol approved Jan 29 (MS-002), one week after the Jan 22 target. Applied to HB 388 on Feb 2. Q1 report in draft for Apr 15.</t>
        </is>
      </c>
      <c r="G11" s="27" t="inlineStr">
        <is>
          <t>MS-002 was completed one week late while County Attorney comments were finalized. One later milestone (MS-016) slipped four days as a result. The objective stays On Track because cleared positions and the reporting schedule were not affected.</t>
        </is>
      </c>
      <c r="H11" s="27" t="inlineStr">
        <is>
          <t>None.</t>
        </is>
      </c>
      <c r="I11" s="27" t="inlineStr">
        <is>
          <t>None.</t>
        </is>
      </c>
      <c r="J11" s="27" t="inlineStr">
        <is>
          <t>Elena Marsh; Priya Raman</t>
        </is>
      </c>
      <c r="K11" s="53" t="str">
        <f>IF(OR(tblQuarterly[[#This Row],[Quarter]]="",tblQuarterly[[#This Row],[Objective ID]]=""),"",tblQuarterly[[#This Row],[Quarter]]&amp;"|"&amp;tblQuarterly[[#This Row],[Objective ID]])</f>
        <v>Q1|OBJ-6</v>
      </c>
      <c r="L11" s="53" t="str">
        <f>IF(tblQuarterly[[#This Row],[Key]]="","",IFERROR(INDEX(tblQuarterly[Status],MATCH("Q"&amp;(VALUE(MID(tblQuarterly[[#This Row],[Quarter]],2,1))-1)&amp;"|"&amp;tblQuarterly[[#This Row],[Objective ID]],tblQuarterly[Key],0)),""))</f>
        <v/>
      </c>
      <c r="M11" s="53"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First Review</v>
      </c>
    </row>
    <row r="12">
      <c r="A12" s="56" t="n"/>
      <c r="B12" s="49" t="n"/>
      <c r="C12" s="53" t="str">
        <f>IF(tblQuarterly[[#This Row],[Objective ID]]="","",IFERROR(INDEX(tblObjectives[Objective],MATCH(tblQuarterly[[#This Row],[Objective ID]],tblObjectives[ID],0)),""))</f>
        <v/>
      </c>
      <c r="D12" s="50" t="n"/>
      <c r="E12" s="49" t="n"/>
      <c r="F12" s="27" t="n"/>
      <c r="G12" s="27" t="n"/>
      <c r="H12" s="27" t="n"/>
      <c r="I12" s="27" t="n"/>
      <c r="J12" s="27" t="n"/>
      <c r="K12" s="53" t="str">
        <f>IF(OR(tblQuarterly[[#This Row],[Quarter]]="",tblQuarterly[[#This Row],[Objective ID]]=""),"",tblQuarterly[[#This Row],[Quarter]]&amp;"|"&amp;tblQuarterly[[#This Row],[Objective ID]])</f>
        <v/>
      </c>
      <c r="L12" s="53" t="str">
        <f>IF(tblQuarterly[[#This Row],[Key]]="","",IFERROR(INDEX(tblQuarterly[Status],MATCH("Q"&amp;(VALUE(MID(tblQuarterly[[#This Row],[Quarter]],2,1))-1)&amp;"|"&amp;tblQuarterly[[#This Row],[Objective ID]],tblQuarterly[Key],0)),""))</f>
        <v/>
      </c>
      <c r="M12" s="53"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13">
      <c r="A13" s="56" t="n"/>
      <c r="B13" s="49" t="n"/>
      <c r="C13" s="53" t="str">
        <f>IF(tblQuarterly[[#This Row],[Objective ID]]="","",IFERROR(INDEX(tblObjectives[Objective],MATCH(tblQuarterly[[#This Row],[Objective ID]],tblObjectives[ID],0)),""))</f>
        <v/>
      </c>
      <c r="D13" s="50" t="n"/>
      <c r="E13" s="49" t="n"/>
      <c r="F13" s="27" t="n"/>
      <c r="G13" s="27" t="n"/>
      <c r="H13" s="27" t="n"/>
      <c r="I13" s="27" t="n"/>
      <c r="J13" s="27" t="n"/>
      <c r="K13" s="53" t="str">
        <f>IF(OR(tblQuarterly[[#This Row],[Quarter]]="",tblQuarterly[[#This Row],[Objective ID]]=""),"",tblQuarterly[[#This Row],[Quarter]]&amp;"|"&amp;tblQuarterly[[#This Row],[Objective ID]])</f>
        <v/>
      </c>
      <c r="L13" s="53" t="str">
        <f>IF(tblQuarterly[[#This Row],[Key]]="","",IFERROR(INDEX(tblQuarterly[Status],MATCH("Q"&amp;(VALUE(MID(tblQuarterly[[#This Row],[Quarter]],2,1))-1)&amp;"|"&amp;tblQuarterly[[#This Row],[Objective ID]],tblQuarterly[Key],0)),""))</f>
        <v/>
      </c>
      <c r="M13" s="53"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14">
      <c r="A14" s="56" t="n"/>
      <c r="B14" s="49" t="n"/>
      <c r="C14" s="53" t="str">
        <f>IF(tblQuarterly[[#This Row],[Objective ID]]="","",IFERROR(INDEX(tblObjectives[Objective],MATCH(tblQuarterly[[#This Row],[Objective ID]],tblObjectives[ID],0)),""))</f>
        <v/>
      </c>
      <c r="D14" s="50" t="n"/>
      <c r="E14" s="49" t="n"/>
      <c r="F14" s="27" t="n"/>
      <c r="G14" s="27" t="n"/>
      <c r="H14" s="27" t="n"/>
      <c r="I14" s="27" t="n"/>
      <c r="J14" s="27" t="n"/>
      <c r="K14" s="53" t="str">
        <f>IF(OR(tblQuarterly[[#This Row],[Quarter]]="",tblQuarterly[[#This Row],[Objective ID]]=""),"",tblQuarterly[[#This Row],[Quarter]]&amp;"|"&amp;tblQuarterly[[#This Row],[Objective ID]])</f>
        <v/>
      </c>
      <c r="L14" s="53" t="str">
        <f>IF(tblQuarterly[[#This Row],[Key]]="","",IFERROR(INDEX(tblQuarterly[Status],MATCH("Q"&amp;(VALUE(MID(tblQuarterly[[#This Row],[Quarter]],2,1))-1)&amp;"|"&amp;tblQuarterly[[#This Row],[Objective ID]],tblQuarterly[Key],0)),""))</f>
        <v/>
      </c>
      <c r="M14" s="53"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15">
      <c r="A15" s="56" t="n"/>
      <c r="B15" s="49" t="n"/>
      <c r="C15" s="53" t="str">
        <f>IF(tblQuarterly[[#This Row],[Objective ID]]="","",IFERROR(INDEX(tblObjectives[Objective],MATCH(tblQuarterly[[#This Row],[Objective ID]],tblObjectives[ID],0)),""))</f>
        <v/>
      </c>
      <c r="D15" s="50" t="n"/>
      <c r="E15" s="49" t="n"/>
      <c r="F15" s="27" t="n"/>
      <c r="G15" s="27" t="n"/>
      <c r="H15" s="27" t="n"/>
      <c r="I15" s="27" t="n"/>
      <c r="J15" s="27" t="n"/>
      <c r="K15" s="53" t="str">
        <f>IF(OR(tblQuarterly[[#This Row],[Quarter]]="",tblQuarterly[[#This Row],[Objective ID]]=""),"",tblQuarterly[[#This Row],[Quarter]]&amp;"|"&amp;tblQuarterly[[#This Row],[Objective ID]])</f>
        <v/>
      </c>
      <c r="L15" s="53" t="str">
        <f>IF(tblQuarterly[[#This Row],[Key]]="","",IFERROR(INDEX(tblQuarterly[Status],MATCH("Q"&amp;(VALUE(MID(tblQuarterly[[#This Row],[Quarter]],2,1))-1)&amp;"|"&amp;tblQuarterly[[#This Row],[Objective ID]],tblQuarterly[Key],0)),""))</f>
        <v/>
      </c>
      <c r="M15" s="53"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16">
      <c r="A16" s="56" t="n"/>
      <c r="B16" s="49" t="n"/>
      <c r="C16" s="53" t="str">
        <f>IF(tblQuarterly[[#This Row],[Objective ID]]="","",IFERROR(INDEX(tblObjectives[Objective],MATCH(tblQuarterly[[#This Row],[Objective ID]],tblObjectives[ID],0)),""))</f>
        <v/>
      </c>
      <c r="D16" s="50" t="n"/>
      <c r="E16" s="49" t="n"/>
      <c r="F16" s="27" t="n"/>
      <c r="G16" s="27" t="n"/>
      <c r="H16" s="27" t="n"/>
      <c r="I16" s="27" t="n"/>
      <c r="J16" s="27" t="n"/>
      <c r="K16" s="53" t="str">
        <f>IF(OR(tblQuarterly[[#This Row],[Quarter]]="",tblQuarterly[[#This Row],[Objective ID]]=""),"",tblQuarterly[[#This Row],[Quarter]]&amp;"|"&amp;tblQuarterly[[#This Row],[Objective ID]])</f>
        <v/>
      </c>
      <c r="L16" s="53" t="str">
        <f>IF(tblQuarterly[[#This Row],[Key]]="","",IFERROR(INDEX(tblQuarterly[Status],MATCH("Q"&amp;(VALUE(MID(tblQuarterly[[#This Row],[Quarter]],2,1))-1)&amp;"|"&amp;tblQuarterly[[#This Row],[Objective ID]],tblQuarterly[Key],0)),""))</f>
        <v/>
      </c>
      <c r="M16" s="53"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17">
      <c r="A17" s="56" t="n"/>
      <c r="B17" s="49" t="n"/>
      <c r="C17" s="53" t="str">
        <f>IF(tblQuarterly[[#This Row],[Objective ID]]="","",IFERROR(INDEX(tblObjectives[Objective],MATCH(tblQuarterly[[#This Row],[Objective ID]],tblObjectives[ID],0)),""))</f>
        <v/>
      </c>
      <c r="D17" s="50" t="n"/>
      <c r="E17" s="49" t="n"/>
      <c r="F17" s="27" t="n"/>
      <c r="G17" s="27" t="n"/>
      <c r="H17" s="27" t="n"/>
      <c r="I17" s="27" t="n"/>
      <c r="J17" s="27" t="n"/>
      <c r="K17" s="53" t="str">
        <f>IF(OR(tblQuarterly[[#This Row],[Quarter]]="",tblQuarterly[[#This Row],[Objective ID]]=""),"",tblQuarterly[[#This Row],[Quarter]]&amp;"|"&amp;tblQuarterly[[#This Row],[Objective ID]])</f>
        <v/>
      </c>
      <c r="L17" s="53" t="str">
        <f>IF(tblQuarterly[[#This Row],[Key]]="","",IFERROR(INDEX(tblQuarterly[Status],MATCH("Q"&amp;(VALUE(MID(tblQuarterly[[#This Row],[Quarter]],2,1))-1)&amp;"|"&amp;tblQuarterly[[#This Row],[Objective ID]],tblQuarterly[Key],0)),""))</f>
        <v/>
      </c>
      <c r="M17" s="53"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18">
      <c r="A18" s="56" t="n"/>
      <c r="B18" s="49" t="n"/>
      <c r="C18" s="53" t="str">
        <f>IF(tblQuarterly[[#This Row],[Objective ID]]="","",IFERROR(INDEX(tblObjectives[Objective],MATCH(tblQuarterly[[#This Row],[Objective ID]],tblObjectives[ID],0)),""))</f>
        <v/>
      </c>
      <c r="D18" s="50" t="n"/>
      <c r="E18" s="49" t="n"/>
      <c r="F18" s="27" t="n"/>
      <c r="G18" s="27" t="n"/>
      <c r="H18" s="27" t="n"/>
      <c r="I18" s="27" t="n"/>
      <c r="J18" s="27" t="n"/>
      <c r="K18" s="53" t="str">
        <f>IF(OR(tblQuarterly[[#This Row],[Quarter]]="",tblQuarterly[[#This Row],[Objective ID]]=""),"",tblQuarterly[[#This Row],[Quarter]]&amp;"|"&amp;tblQuarterly[[#This Row],[Objective ID]])</f>
        <v/>
      </c>
      <c r="L18" s="53" t="str">
        <f>IF(tblQuarterly[[#This Row],[Key]]="","",IFERROR(INDEX(tblQuarterly[Status],MATCH("Q"&amp;(VALUE(MID(tblQuarterly[[#This Row],[Quarter]],2,1))-1)&amp;"|"&amp;tblQuarterly[[#This Row],[Objective ID]],tblQuarterly[Key],0)),""))</f>
        <v/>
      </c>
      <c r="M18" s="53"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19">
      <c r="A19" s="56" t="n"/>
      <c r="B19" s="49" t="n"/>
      <c r="C19" s="53" t="str">
        <f>IF(tblQuarterly[[#This Row],[Objective ID]]="","",IFERROR(INDEX(tblObjectives[Objective],MATCH(tblQuarterly[[#This Row],[Objective ID]],tblObjectives[ID],0)),""))</f>
        <v/>
      </c>
      <c r="D19" s="50" t="n"/>
      <c r="E19" s="49" t="n"/>
      <c r="F19" s="27" t="n"/>
      <c r="G19" s="27" t="n"/>
      <c r="H19" s="27" t="n"/>
      <c r="I19" s="27" t="n"/>
      <c r="J19" s="27" t="n"/>
      <c r="K19" s="53" t="str">
        <f>IF(OR(tblQuarterly[[#This Row],[Quarter]]="",tblQuarterly[[#This Row],[Objective ID]]=""),"",tblQuarterly[[#This Row],[Quarter]]&amp;"|"&amp;tblQuarterly[[#This Row],[Objective ID]])</f>
        <v/>
      </c>
      <c r="L19" s="53" t="str">
        <f>IF(tblQuarterly[[#This Row],[Key]]="","",IFERROR(INDEX(tblQuarterly[Status],MATCH("Q"&amp;(VALUE(MID(tblQuarterly[[#This Row],[Quarter]],2,1))-1)&amp;"|"&amp;tblQuarterly[[#This Row],[Objective ID]],tblQuarterly[Key],0)),""))</f>
        <v/>
      </c>
      <c r="M19" s="53"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20">
      <c r="A20" s="56" t="n"/>
      <c r="B20" s="49" t="n"/>
      <c r="C20" s="53" t="str">
        <f>IF(tblQuarterly[[#This Row],[Objective ID]]="","",IFERROR(INDEX(tblObjectives[Objective],MATCH(tblQuarterly[[#This Row],[Objective ID]],tblObjectives[ID],0)),""))</f>
        <v/>
      </c>
      <c r="D20" s="50" t="n"/>
      <c r="E20" s="49" t="n"/>
      <c r="F20" s="27" t="n"/>
      <c r="G20" s="27" t="n"/>
      <c r="H20" s="27" t="n"/>
      <c r="I20" s="27" t="n"/>
      <c r="J20" s="27" t="n"/>
      <c r="K20" s="53" t="str">
        <f>IF(OR(tblQuarterly[[#This Row],[Quarter]]="",tblQuarterly[[#This Row],[Objective ID]]=""),"",tblQuarterly[[#This Row],[Quarter]]&amp;"|"&amp;tblQuarterly[[#This Row],[Objective ID]])</f>
        <v/>
      </c>
      <c r="L20" s="53" t="str">
        <f>IF(tblQuarterly[[#This Row],[Key]]="","",IFERROR(INDEX(tblQuarterly[Status],MATCH("Q"&amp;(VALUE(MID(tblQuarterly[[#This Row],[Quarter]],2,1))-1)&amp;"|"&amp;tblQuarterly[[#This Row],[Objective ID]],tblQuarterly[Key],0)),""))</f>
        <v/>
      </c>
      <c r="M20" s="53"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21">
      <c r="A21" s="56" t="n"/>
      <c r="B21" s="49" t="n"/>
      <c r="C21" s="53" t="str">
        <f>IF(tblQuarterly[[#This Row],[Objective ID]]="","",IFERROR(INDEX(tblObjectives[Objective],MATCH(tblQuarterly[[#This Row],[Objective ID]],tblObjectives[ID],0)),""))</f>
        <v/>
      </c>
      <c r="D21" s="50" t="n"/>
      <c r="E21" s="49" t="n"/>
      <c r="F21" s="27" t="n"/>
      <c r="G21" s="27" t="n"/>
      <c r="H21" s="27" t="n"/>
      <c r="I21" s="27" t="n"/>
      <c r="J21" s="27" t="n"/>
      <c r="K21" s="53" t="str">
        <f>IF(OR(tblQuarterly[[#This Row],[Quarter]]="",tblQuarterly[[#This Row],[Objective ID]]=""),"",tblQuarterly[[#This Row],[Quarter]]&amp;"|"&amp;tblQuarterly[[#This Row],[Objective ID]])</f>
        <v/>
      </c>
      <c r="L21" s="53" t="str">
        <f>IF(tblQuarterly[[#This Row],[Key]]="","",IFERROR(INDEX(tblQuarterly[Status],MATCH("Q"&amp;(VALUE(MID(tblQuarterly[[#This Row],[Quarter]],2,1))-1)&amp;"|"&amp;tblQuarterly[[#This Row],[Objective ID]],tblQuarterly[Key],0)),""))</f>
        <v/>
      </c>
      <c r="M21" s="53"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22">
      <c r="A22" s="56" t="n"/>
      <c r="B22" s="49" t="n"/>
      <c r="C22" s="53" t="str">
        <f>IF(tblQuarterly[[#This Row],[Objective ID]]="","",IFERROR(INDEX(tblObjectives[Objective],MATCH(tblQuarterly[[#This Row],[Objective ID]],tblObjectives[ID],0)),""))</f>
        <v/>
      </c>
      <c r="D22" s="50" t="n"/>
      <c r="E22" s="49" t="n"/>
      <c r="F22" s="27" t="n"/>
      <c r="G22" s="27" t="n"/>
      <c r="H22" s="27" t="n"/>
      <c r="I22" s="27" t="n"/>
      <c r="J22" s="27" t="n"/>
      <c r="K22" s="53" t="str">
        <f>IF(OR(tblQuarterly[[#This Row],[Quarter]]="",tblQuarterly[[#This Row],[Objective ID]]=""),"",tblQuarterly[[#This Row],[Quarter]]&amp;"|"&amp;tblQuarterly[[#This Row],[Objective ID]])</f>
        <v/>
      </c>
      <c r="L22" s="53" t="str">
        <f>IF(tblQuarterly[[#This Row],[Key]]="","",IFERROR(INDEX(tblQuarterly[Status],MATCH("Q"&amp;(VALUE(MID(tblQuarterly[[#This Row],[Quarter]],2,1))-1)&amp;"|"&amp;tblQuarterly[[#This Row],[Objective ID]],tblQuarterly[Key],0)),""))</f>
        <v/>
      </c>
      <c r="M22" s="53"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23">
      <c r="A23" s="56" t="n"/>
      <c r="B23" s="49" t="n"/>
      <c r="C23" s="53" t="str">
        <f>IF(tblQuarterly[[#This Row],[Objective ID]]="","",IFERROR(INDEX(tblObjectives[Objective],MATCH(tblQuarterly[[#This Row],[Objective ID]],tblObjectives[ID],0)),""))</f>
        <v/>
      </c>
      <c r="D23" s="50" t="n"/>
      <c r="E23" s="49" t="n"/>
      <c r="F23" s="27" t="n"/>
      <c r="G23" s="27" t="n"/>
      <c r="H23" s="27" t="n"/>
      <c r="I23" s="27" t="n"/>
      <c r="J23" s="27" t="n"/>
      <c r="K23" s="53" t="str">
        <f>IF(OR(tblQuarterly[[#This Row],[Quarter]]="",tblQuarterly[[#This Row],[Objective ID]]=""),"",tblQuarterly[[#This Row],[Quarter]]&amp;"|"&amp;tblQuarterly[[#This Row],[Objective ID]])</f>
        <v/>
      </c>
      <c r="L23" s="53" t="str">
        <f>IF(tblQuarterly[[#This Row],[Key]]="","",IFERROR(INDEX(tblQuarterly[Status],MATCH("Q"&amp;(VALUE(MID(tblQuarterly[[#This Row],[Quarter]],2,1))-1)&amp;"|"&amp;tblQuarterly[[#This Row],[Objective ID]],tblQuarterly[Key],0)),""))</f>
        <v/>
      </c>
      <c r="M23" s="53"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24">
      <c r="A24" s="56" t="n"/>
      <c r="B24" s="49" t="n"/>
      <c r="C24" s="53" t="str">
        <f>IF(tblQuarterly[[#This Row],[Objective ID]]="","",IFERROR(INDEX(tblObjectives[Objective],MATCH(tblQuarterly[[#This Row],[Objective ID]],tblObjectives[ID],0)),""))</f>
        <v/>
      </c>
      <c r="D24" s="50" t="n"/>
      <c r="E24" s="49" t="n"/>
      <c r="F24" s="27" t="n"/>
      <c r="G24" s="27" t="n"/>
      <c r="H24" s="27" t="n"/>
      <c r="I24" s="27" t="n"/>
      <c r="J24" s="27" t="n"/>
      <c r="K24" s="53" t="str">
        <f>IF(OR(tblQuarterly[[#This Row],[Quarter]]="",tblQuarterly[[#This Row],[Objective ID]]=""),"",tblQuarterly[[#This Row],[Quarter]]&amp;"|"&amp;tblQuarterly[[#This Row],[Objective ID]])</f>
        <v/>
      </c>
      <c r="L24" s="53" t="str">
        <f>IF(tblQuarterly[[#This Row],[Key]]="","",IFERROR(INDEX(tblQuarterly[Status],MATCH("Q"&amp;(VALUE(MID(tblQuarterly[[#This Row],[Quarter]],2,1))-1)&amp;"|"&amp;tblQuarterly[[#This Row],[Objective ID]],tblQuarterly[Key],0)),""))</f>
        <v/>
      </c>
      <c r="M24" s="53"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25">
      <c r="A25" s="56" t="n"/>
      <c r="B25" s="49" t="n"/>
      <c r="C25" s="53" t="str">
        <f>IF(tblQuarterly[[#This Row],[Objective ID]]="","",IFERROR(INDEX(tblObjectives[Objective],MATCH(tblQuarterly[[#This Row],[Objective ID]],tblObjectives[ID],0)),""))</f>
        <v/>
      </c>
      <c r="D25" s="50" t="n"/>
      <c r="E25" s="49" t="n"/>
      <c r="F25" s="27" t="n"/>
      <c r="G25" s="27" t="n"/>
      <c r="H25" s="27" t="n"/>
      <c r="I25" s="27" t="n"/>
      <c r="J25" s="27" t="n"/>
      <c r="K25" s="53" t="str">
        <f>IF(OR(tblQuarterly[[#This Row],[Quarter]]="",tblQuarterly[[#This Row],[Objective ID]]=""),"",tblQuarterly[[#This Row],[Quarter]]&amp;"|"&amp;tblQuarterly[[#This Row],[Objective ID]])</f>
        <v/>
      </c>
      <c r="L25" s="53" t="str">
        <f>IF(tblQuarterly[[#This Row],[Key]]="","",IFERROR(INDEX(tblQuarterly[Status],MATCH("Q"&amp;(VALUE(MID(tblQuarterly[[#This Row],[Quarter]],2,1))-1)&amp;"|"&amp;tblQuarterly[[#This Row],[Objective ID]],tblQuarterly[Key],0)),""))</f>
        <v/>
      </c>
      <c r="M25" s="53"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26">
      <c r="A26" s="56" t="n"/>
      <c r="B26" s="49" t="n"/>
      <c r="C26" s="53" t="str">
        <f>IF(tblQuarterly[[#This Row],[Objective ID]]="","",IFERROR(INDEX(tblObjectives[Objective],MATCH(tblQuarterly[[#This Row],[Objective ID]],tblObjectives[ID],0)),""))</f>
        <v/>
      </c>
      <c r="D26" s="50" t="n"/>
      <c r="E26" s="49" t="n"/>
      <c r="F26" s="27" t="n"/>
      <c r="G26" s="27" t="n"/>
      <c r="H26" s="27" t="n"/>
      <c r="I26" s="27" t="n"/>
      <c r="J26" s="27" t="n"/>
      <c r="K26" s="53" t="str">
        <f>IF(OR(tblQuarterly[[#This Row],[Quarter]]="",tblQuarterly[[#This Row],[Objective ID]]=""),"",tblQuarterly[[#This Row],[Quarter]]&amp;"|"&amp;tblQuarterly[[#This Row],[Objective ID]])</f>
        <v/>
      </c>
      <c r="L26" s="53" t="str">
        <f>IF(tblQuarterly[[#This Row],[Key]]="","",IFERROR(INDEX(tblQuarterly[Status],MATCH("Q"&amp;(VALUE(MID(tblQuarterly[[#This Row],[Quarter]],2,1))-1)&amp;"|"&amp;tblQuarterly[[#This Row],[Objective ID]],tblQuarterly[Key],0)),""))</f>
        <v/>
      </c>
      <c r="M26" s="53"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27">
      <c r="A27" s="56" t="n"/>
      <c r="B27" s="49" t="n"/>
      <c r="C27" s="53" t="str">
        <f>IF(tblQuarterly[[#This Row],[Objective ID]]="","",IFERROR(INDEX(tblObjectives[Objective],MATCH(tblQuarterly[[#This Row],[Objective ID]],tblObjectives[ID],0)),""))</f>
        <v/>
      </c>
      <c r="D27" s="50" t="n"/>
      <c r="E27" s="49" t="n"/>
      <c r="F27" s="27" t="n"/>
      <c r="G27" s="27" t="n"/>
      <c r="H27" s="27" t="n"/>
      <c r="I27" s="27" t="n"/>
      <c r="J27" s="27" t="n"/>
      <c r="K27" s="53" t="str">
        <f>IF(OR(tblQuarterly[[#This Row],[Quarter]]="",tblQuarterly[[#This Row],[Objective ID]]=""),"",tblQuarterly[[#This Row],[Quarter]]&amp;"|"&amp;tblQuarterly[[#This Row],[Objective ID]])</f>
        <v/>
      </c>
      <c r="L27" s="53" t="str">
        <f>IF(tblQuarterly[[#This Row],[Key]]="","",IFERROR(INDEX(tblQuarterly[Status],MATCH("Q"&amp;(VALUE(MID(tblQuarterly[[#This Row],[Quarter]],2,1))-1)&amp;"|"&amp;tblQuarterly[[#This Row],[Objective ID]],tblQuarterly[Key],0)),""))</f>
        <v/>
      </c>
      <c r="M27" s="53"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28">
      <c r="A28" s="56" t="n"/>
      <c r="B28" s="49" t="n"/>
      <c r="C28" s="53" t="str">
        <f>IF(tblQuarterly[[#This Row],[Objective ID]]="","",IFERROR(INDEX(tblObjectives[Objective],MATCH(tblQuarterly[[#This Row],[Objective ID]],tblObjectives[ID],0)),""))</f>
        <v/>
      </c>
      <c r="D28" s="50" t="n"/>
      <c r="E28" s="49" t="n"/>
      <c r="F28" s="27" t="n"/>
      <c r="G28" s="27" t="n"/>
      <c r="H28" s="27" t="n"/>
      <c r="I28" s="27" t="n"/>
      <c r="J28" s="27" t="n"/>
      <c r="K28" s="53" t="str">
        <f>IF(OR(tblQuarterly[[#This Row],[Quarter]]="",tblQuarterly[[#This Row],[Objective ID]]=""),"",tblQuarterly[[#This Row],[Quarter]]&amp;"|"&amp;tblQuarterly[[#This Row],[Objective ID]])</f>
        <v/>
      </c>
      <c r="L28" s="53" t="str">
        <f>IF(tblQuarterly[[#This Row],[Key]]="","",IFERROR(INDEX(tblQuarterly[Status],MATCH("Q"&amp;(VALUE(MID(tblQuarterly[[#This Row],[Quarter]],2,1))-1)&amp;"|"&amp;tblQuarterly[[#This Row],[Objective ID]],tblQuarterly[Key],0)),""))</f>
        <v/>
      </c>
      <c r="M28" s="53"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row r="29">
      <c r="A29" s="56" t="n"/>
      <c r="B29" s="49" t="n"/>
      <c r="C29" s="53" t="str">
        <f>IF(tblQuarterly[[#This Row],[Objective ID]]="","",IFERROR(INDEX(tblObjectives[Objective],MATCH(tblQuarterly[[#This Row],[Objective ID]],tblObjectives[ID],0)),""))</f>
        <v/>
      </c>
      <c r="D29" s="50" t="n"/>
      <c r="E29" s="49" t="n"/>
      <c r="F29" s="27" t="n"/>
      <c r="G29" s="27" t="n"/>
      <c r="H29" s="27" t="n"/>
      <c r="I29" s="27" t="n"/>
      <c r="J29" s="27" t="n"/>
      <c r="K29" s="53" t="str">
        <f>IF(OR(tblQuarterly[[#This Row],[Quarter]]="",tblQuarterly[[#This Row],[Objective ID]]=""),"",tblQuarterly[[#This Row],[Quarter]]&amp;"|"&amp;tblQuarterly[[#This Row],[Objective ID]])</f>
        <v/>
      </c>
      <c r="L29" s="53" t="str">
        <f>IF(tblQuarterly[[#This Row],[Key]]="","",IFERROR(INDEX(tblQuarterly[Status],MATCH("Q"&amp;(VALUE(MID(tblQuarterly[[#This Row],[Quarter]],2,1))-1)&amp;"|"&amp;tblQuarterly[[#This Row],[Objective ID]],tblQuarterly[Key],0)),""))</f>
        <v/>
      </c>
      <c r="M29" s="53" t="str">
        <f>IF(tblQuarterly[[#This Row],[Key]]="","",IF(tblQuarterly[[#This Row],[Prior Status]]="","First Review",IF(tblQuarterly[[#This Row],[Status]]=tblQuarterly[[#This Row],[Prior Status]],"Unchanged",IF(OR(IFERROR(MATCH(tblQuarterly[[#This Row],[Status]],lstStatusRank,0),0)=0,IFERROR(MATCH(tblQuarterly[[#This Row],[Prior Status]],lstStatusRank,0),0)=0),"Changed",IF(MATCH(tblQuarterly[[#This Row],[Status]],lstStatusRank,0)&gt;MATCH(tblQuarterly[[#This Row],[Prior Status]],lstStatusRank,0),"Improved","Declined")))))</f>
        <v/>
      </c>
    </row>
  </sheetData>
  <conditionalFormatting sqref="E6:E29">
    <cfRule type="cellIs" priority="1" operator="equal" dxfId="1">
      <formula>"On Track"</formula>
    </cfRule>
    <cfRule type="cellIs" priority="2" operator="equal" dxfId="2">
      <formula>"Complete"</formula>
    </cfRule>
    <cfRule type="cellIs" priority="3" operator="equal" dxfId="3">
      <formula>"At Risk"</formula>
    </cfRule>
    <cfRule type="cellIs" priority="4" operator="equal" dxfId="4">
      <formula>"Off Track"</formula>
    </cfRule>
    <cfRule type="cellIs" priority="5" operator="equal" dxfId="5">
      <formula>"Not Started"</formula>
    </cfRule>
    <cfRule type="cellIs" priority="6" operator="equal" dxfId="6">
      <formula>"Deferred"</formula>
    </cfRule>
  </conditionalFormatting>
  <conditionalFormatting sqref="L6:L29">
    <cfRule type="cellIs" priority="7" operator="equal" dxfId="1">
      <formula>"On Track"</formula>
    </cfRule>
    <cfRule type="cellIs" priority="8" operator="equal" dxfId="2">
      <formula>"Complete"</formula>
    </cfRule>
    <cfRule type="cellIs" priority="9" operator="equal" dxfId="3">
      <formula>"At Risk"</formula>
    </cfRule>
    <cfRule type="cellIs" priority="10" operator="equal" dxfId="4">
      <formula>"Off Track"</formula>
    </cfRule>
    <cfRule type="cellIs" priority="11" operator="equal" dxfId="5">
      <formula>"Not Started"</formula>
    </cfRule>
    <cfRule type="cellIs" priority="12" operator="equal" dxfId="6">
      <formula>"Deferred"</formula>
    </cfRule>
  </conditionalFormatting>
  <conditionalFormatting sqref="M6:M29">
    <cfRule type="cellIs" priority="13" operator="equal" dxfId="8">
      <formula>"Improved"</formula>
    </cfRule>
    <cfRule type="cellIs" priority="14" operator="equal" dxfId="4">
      <formula>"Declined"</formula>
    </cfRule>
  </conditionalFormatting>
  <dataValidations count="4">
    <dataValidation sqref="A6:A29" showDropDown="0" showInputMessage="0" showErrorMessage="1" allowBlank="1" errorTitle="Choose from the list" error="Pick a value from the dropdown. Edit the lists on the Lists sheet." type="list" errorStyle="stop">
      <formula1>=lstQuarter</formula1>
    </dataValidation>
    <dataValidation sqref="B6:B29" showDropDown="0" showInputMessage="0" showErrorMessage="1" allowBlank="1" errorTitle="Choose from the list" error="Pick a value from the dropdown. Edit the lists on the Lists sheet." type="list" errorStyle="stop">
      <formula1>=rngObjIDs</formula1>
    </dataValidation>
    <dataValidation sqref="D6:D29" showDropDown="0" showInputMessage="0" showErrorMessage="1" allowBlank="1" errorTitle="Enter a date" error="Enter a valid date, for example 4/15/2027." type="date" errorStyle="stop" operator="greaterThanOrEqual">
      <formula1>36526</formula1>
    </dataValidation>
    <dataValidation sqref="E6:E29" showDropDown="0" showInputMessage="0" showErrorMessage="1" allowBlank="1" errorTitle="Choose from the list" error="Pick a value from the dropdown. Edit the lists on the Lists sheet." type="list" errorStyle="stop">
      <formula1>=lstObjStatus</formula1>
    </dataValidation>
  </dataValidations>
  <pageMargins left="0.5" right="0.5" top="1" bottom="1" header="0.5" footer="0.5"/>
  <pageSetup orientation="landscape" fitToHeight="0" fitToWidth="1"/>
  <headerFooter>
    <oddHeader/>
    <oddFooter>&amp;L&amp;8 Intergov Association | Strategic Plan Tracker&amp;R&amp;8 &amp;A | Page &amp;P of &amp;N</oddFooter>
    <evenHeader/>
    <evenFooter/>
    <firstHeader/>
    <firstFooter/>
  </headerFooter>
  <tableParts count="1">
    <tablePart xmlns:r="http://schemas.openxmlformats.org/officeDocument/2006/relationships" r:id="rId1"/>
  </tableParts>
</worksheet>
</file>

<file path=xl/worksheets/sheet11.xml><?xml version="1.0" encoding="utf-8"?>
<worksheet xmlns="http://schemas.openxmlformats.org/spreadsheetml/2006/main">
  <sheetPr>
    <tabColor rgb="0052606D"/>
    <outlinePr summaryBelow="1" summaryRight="1"/>
    <pageSetUpPr fitToPage="1"/>
  </sheetPr>
  <dimension ref="B1:E177"/>
  <sheetViews>
    <sheetView showGridLines="0" workbookViewId="0">
      <pane ySplit="3" topLeftCell="A4" activePane="bottomLeft" state="frozen"/>
      <selection pane="bottomLeft" activeCell="A1" sqref="A1"/>
    </sheetView>
  </sheetViews>
  <sheetFormatPr baseColWidth="8" defaultRowHeight="15"/>
  <cols>
    <col width="3" customWidth="1" min="1" max="1"/>
    <col width="26" customWidth="1" min="2" max="2"/>
    <col width="30" customWidth="1" min="3" max="3"/>
    <col width="78" customWidth="1" min="4" max="4"/>
    <col width="40" customWidth="1" min="5" max="5"/>
  </cols>
  <sheetData>
    <row r="1">
      <c r="B1" s="1" t="inlineStr">
        <is>
          <t>Definitions and Field Guide</t>
        </is>
      </c>
    </row>
    <row r="2">
      <c r="B2" s="18" t="inlineStr">
        <is>
          <t>What each status, tier, rating, and flag means, and what to enter in each input column.</t>
        </is>
      </c>
    </row>
    <row r="4">
      <c r="B4" s="3" t="inlineStr">
        <is>
          <t>OBJECTIVE STATUS</t>
        </is>
      </c>
      <c r="C4" s="4" t="n"/>
      <c r="D4" s="4" t="n"/>
      <c r="E4" s="4" t="n"/>
    </row>
    <row r="5">
      <c r="B5" s="14" t="inlineStr">
        <is>
          <t>Status</t>
        </is>
      </c>
      <c r="C5" s="14" t="inlineStr"/>
      <c r="D5" s="14" t="inlineStr">
        <is>
          <t>Meaning</t>
        </is>
      </c>
    </row>
    <row r="6" ht="16.5" customHeight="1">
      <c r="B6" s="15" t="inlineStr">
        <is>
          <t>Not Started</t>
        </is>
      </c>
      <c r="C6" s="16" t="inlineStr"/>
      <c r="D6" s="16" t="inlineStr">
        <is>
          <t>Work has not begun, or the start date has not arrived.</t>
        </is>
      </c>
    </row>
    <row r="7" ht="30" customHeight="1">
      <c r="B7" s="15" t="inlineStr">
        <is>
          <t>On Track</t>
        </is>
      </c>
      <c r="C7" s="16" t="inlineStr"/>
      <c r="D7" s="16" t="inlineStr">
        <is>
          <t>Milestones are on schedule and no open issue threatens the target date or outcome.</t>
        </is>
      </c>
    </row>
    <row r="8" ht="30" customHeight="1">
      <c r="B8" s="15" t="inlineStr">
        <is>
          <t>At Risk</t>
        </is>
      </c>
      <c r="C8" s="16" t="inlineStr"/>
      <c r="D8" s="16" t="inlineStr">
        <is>
          <t>A milestone is late, a dependency is unresolved, or an assumption is in doubt. The target can still be met with an adjustment or a decision.</t>
        </is>
      </c>
    </row>
    <row r="9" ht="30" customHeight="1">
      <c r="B9" s="15" t="inlineStr">
        <is>
          <t>Off Track</t>
        </is>
      </c>
      <c r="C9" s="16" t="inlineStr"/>
      <c r="D9" s="16" t="inlineStr">
        <is>
          <t>The target date or outcome will not be met without a change in scope, schedule, or a leadership decision.</t>
        </is>
      </c>
    </row>
    <row r="10" ht="16.5" customHeight="1">
      <c r="B10" s="15" t="inlineStr">
        <is>
          <t>Complete</t>
        </is>
      </c>
      <c r="C10" s="16" t="inlineStr"/>
      <c r="D10" s="16" t="inlineStr">
        <is>
          <t>The outcome occurred and the success measure was met.</t>
        </is>
      </c>
    </row>
    <row r="11" ht="30" customHeight="1">
      <c r="B11" s="15" t="inlineStr">
        <is>
          <t>Deferred</t>
        </is>
      </c>
      <c r="C11" s="16" t="inlineStr"/>
      <c r="D11" s="16" t="inlineStr">
        <is>
          <t>Leadership deliberately postponed the objective. Record who decided and when in the status note.</t>
        </is>
      </c>
    </row>
    <row r="13">
      <c r="B13" s="3" t="inlineStr">
        <is>
          <t>MILESTONES</t>
        </is>
      </c>
      <c r="C13" s="4" t="n"/>
      <c r="D13" s="4" t="n"/>
      <c r="E13" s="4" t="n"/>
    </row>
    <row r="14">
      <c r="B14" s="14" t="inlineStr">
        <is>
          <t>Term</t>
        </is>
      </c>
      <c r="C14" s="14" t="inlineStr"/>
      <c r="D14" s="14" t="inlineStr">
        <is>
          <t>Meaning</t>
        </is>
      </c>
    </row>
    <row r="15" ht="30" customHeight="1">
      <c r="B15" s="15" t="inlineStr">
        <is>
          <t>Fixed External Date</t>
        </is>
      </c>
      <c r="C15" s="16" t="inlineStr"/>
      <c r="D15" s="16" t="inlineStr">
        <is>
          <t>A date another government or body sets and you cannot move, such as a filing deadline or a hearing.</t>
        </is>
      </c>
    </row>
    <row r="16" ht="30" customHeight="1">
      <c r="B16" s="15" t="inlineStr">
        <is>
          <t>Assumed External Date</t>
        </is>
      </c>
      <c r="C16" s="16" t="inlineStr"/>
      <c r="D16" s="16" t="inlineStr">
        <is>
          <t>A date you expect another party to set but no one has confirmed. Treat as an assumption and revisit when confirmed.</t>
        </is>
      </c>
    </row>
    <row r="17" ht="16.5" customHeight="1">
      <c r="B17" s="15" t="inlineStr">
        <is>
          <t>Internal Target</t>
        </is>
      </c>
      <c r="C17" s="16" t="inlineStr"/>
      <c r="D17" s="16" t="inlineStr">
        <is>
          <t>A date you set for your own work.</t>
        </is>
      </c>
    </row>
    <row r="18" ht="16.5" customHeight="1">
      <c r="B18" s="15" t="inlineStr">
        <is>
          <t>Decision Point</t>
        </is>
      </c>
      <c r="C18" s="16" t="inlineStr"/>
      <c r="D18" s="16" t="inlineStr">
        <is>
          <t>A date by which someone must decide for the work to continue.</t>
        </is>
      </c>
    </row>
    <row r="19" ht="16.5" customHeight="1">
      <c r="B19" s="15" t="inlineStr">
        <is>
          <t>Delayed</t>
        </is>
      </c>
      <c r="C19" s="16" t="inlineStr"/>
      <c r="D19" s="16" t="inlineStr">
        <is>
          <t>Running late with a new date set in Revised Due Date.</t>
        </is>
      </c>
    </row>
    <row r="20" ht="16.5" customHeight="1">
      <c r="B20" s="15" t="inlineStr">
        <is>
          <t>Blocked</t>
        </is>
      </c>
      <c r="C20" s="16" t="inlineStr"/>
      <c r="D20" s="16" t="inlineStr">
        <is>
          <t>Cannot proceed until another party acts. Name the party in Notes.</t>
        </is>
      </c>
    </row>
    <row r="21" ht="16.5" customHeight="1">
      <c r="B21" s="15" t="inlineStr">
        <is>
          <t>Critical Path</t>
        </is>
      </c>
      <c r="C21" s="16" t="inlineStr"/>
      <c r="D21" s="16" t="inlineStr">
        <is>
          <t>Yes means a slip in this milestone moves the objective's target date.</t>
        </is>
      </c>
    </row>
    <row r="23">
      <c r="B23" s="3" t="inlineStr">
        <is>
          <t>RELATIONSHIPS</t>
        </is>
      </c>
      <c r="C23" s="4" t="n"/>
      <c r="D23" s="4" t="n"/>
      <c r="E23" s="4" t="n"/>
    </row>
    <row r="24">
      <c r="B24" s="14" t="inlineStr">
        <is>
          <t>Tier</t>
        </is>
      </c>
      <c r="C24" s="14" t="inlineStr">
        <is>
          <t>Default contact standard</t>
        </is>
      </c>
      <c r="D24" s="14" t="inlineStr">
        <is>
          <t>Meaning</t>
        </is>
      </c>
    </row>
    <row r="25" ht="30" customHeight="1">
      <c r="B25" s="15" t="inlineStr">
        <is>
          <t>Tier 1 Strategic</t>
        </is>
      </c>
      <c r="C25" s="16" t="inlineStr">
        <is>
          <t>Monthly or more often; weekly during active sessions</t>
        </is>
      </c>
      <c r="D25" s="16" t="inlineStr">
        <is>
          <t>The relationship decides whether an objective succeeds.</t>
        </is>
      </c>
    </row>
    <row r="26" ht="16.5" customHeight="1">
      <c r="B26" s="15" t="inlineStr">
        <is>
          <t>Tier 2 Priority</t>
        </is>
      </c>
      <c r="C26" s="16" t="inlineStr">
        <is>
          <t>Monthly to quarterly</t>
        </is>
      </c>
      <c r="D26" s="16" t="inlineStr">
        <is>
          <t>Important to one or more objectives, but not decisive alone.</t>
        </is>
      </c>
    </row>
    <row r="27" ht="16.5" customHeight="1">
      <c r="B27" s="15" t="inlineStr">
        <is>
          <t>Tier 3 Maintain</t>
        </is>
      </c>
      <c r="C27" s="16" t="inlineStr">
        <is>
          <t>Quarterly</t>
        </is>
      </c>
      <c r="D27" s="16" t="inlineStr">
        <is>
          <t>Useful to keep warm. Needed on specific matters.</t>
        </is>
      </c>
    </row>
    <row r="28" ht="16.5" customHeight="1">
      <c r="B28" s="15" t="inlineStr">
        <is>
          <t>Tier 4 Monitor</t>
        </is>
      </c>
      <c r="C28" s="16" t="inlineStr">
        <is>
          <t>Semiannual or as needed</t>
        </is>
      </c>
      <c r="D28" s="16" t="inlineStr">
        <is>
          <t>Watch for developments. No active engagement planned.</t>
        </is>
      </c>
    </row>
    <row r="30">
      <c r="B30" s="14" t="inlineStr">
        <is>
          <t>Posture</t>
        </is>
      </c>
      <c r="C30" s="14" t="inlineStr"/>
      <c r="D30" s="14" t="inlineStr">
        <is>
          <t>Meaning</t>
        </is>
      </c>
    </row>
    <row r="31" ht="16.5" customHeight="1">
      <c r="B31" s="15" t="inlineStr">
        <is>
          <t>Aligned</t>
        </is>
      </c>
      <c r="C31" s="16" t="inlineStr"/>
      <c r="D31" s="16" t="inlineStr">
        <is>
          <t>Shares your position on current matters.</t>
        </is>
      </c>
    </row>
    <row r="32" ht="16.5" customHeight="1">
      <c r="B32" s="15" t="inlineStr">
        <is>
          <t>Mixed</t>
        </is>
      </c>
      <c r="C32" s="16" t="inlineStr"/>
      <c r="D32" s="16" t="inlineStr">
        <is>
          <t>Aligned on some matters and divergent on others. Name both in Notes.</t>
        </is>
      </c>
    </row>
    <row r="33" ht="16.5" customHeight="1">
      <c r="B33" s="15" t="inlineStr">
        <is>
          <t>Divergent</t>
        </is>
      </c>
      <c r="C33" s="16" t="inlineStr"/>
      <c r="D33" s="16" t="inlineStr">
        <is>
          <t>Opposes your position on a matter that affects an objective.</t>
        </is>
      </c>
    </row>
    <row r="34" ht="16.5" customHeight="1">
      <c r="B34" s="15" t="inlineStr">
        <is>
          <t>Unknown</t>
        </is>
      </c>
      <c r="C34" s="16" t="inlineStr"/>
      <c r="D34" s="16" t="inlineStr">
        <is>
          <t>Not yet assessed. Treat as a gap to close, not as neutral.</t>
        </is>
      </c>
    </row>
    <row r="36">
      <c r="B36" s="14" t="inlineStr">
        <is>
          <t>Relationship Health</t>
        </is>
      </c>
      <c r="C36" s="14" t="inlineStr"/>
      <c r="D36" s="14" t="inlineStr">
        <is>
          <t>Meaning</t>
        </is>
      </c>
    </row>
    <row r="37" ht="16.5" customHeight="1">
      <c r="B37" s="15" t="inlineStr">
        <is>
          <t>Strong</t>
        </is>
      </c>
      <c r="C37" s="16" t="inlineStr"/>
      <c r="D37" s="16" t="inlineStr">
        <is>
          <t>Open channel, mutual trust, and prompt response.</t>
        </is>
      </c>
    </row>
    <row r="38" ht="16.5" customHeight="1">
      <c r="B38" s="15" t="inlineStr">
        <is>
          <t>Working</t>
        </is>
      </c>
      <c r="C38" s="16" t="inlineStr"/>
      <c r="D38" s="16" t="inlineStr">
        <is>
          <t>Functional and professional. Responsiveness varies.</t>
        </is>
      </c>
    </row>
    <row r="39" ht="16.5" customHeight="1">
      <c r="B39" s="15" t="inlineStr">
        <is>
          <t>Strained</t>
        </is>
      </c>
      <c r="C39" s="16" t="inlineStr"/>
      <c r="D39" s="16" t="inlineStr">
        <is>
          <t>Recent conflict, missed commitments, or poor responsiveness.</t>
        </is>
      </c>
    </row>
    <row r="40" ht="16.5" customHeight="1">
      <c r="B40" s="15" t="inlineStr">
        <is>
          <t>New</t>
        </is>
      </c>
      <c r="C40" s="16" t="inlineStr"/>
      <c r="D40" s="16" t="inlineStr">
        <is>
          <t>No track record yet.</t>
        </is>
      </c>
    </row>
    <row r="41" ht="16.5" customHeight="1">
      <c r="B41" s="15" t="inlineStr">
        <is>
          <t>Dormant</t>
        </is>
      </c>
      <c r="C41" s="16" t="inlineStr"/>
      <c r="D41" s="16" t="inlineStr">
        <is>
          <t>No active relationship.</t>
        </is>
      </c>
    </row>
    <row r="43">
      <c r="B43" s="14" t="inlineStr">
        <is>
          <t>Contact Status (calculated)</t>
        </is>
      </c>
      <c r="C43" s="14" t="inlineStr"/>
      <c r="D43" s="14" t="inlineStr">
        <is>
          <t>Meaning</t>
        </is>
      </c>
    </row>
    <row r="44" ht="16.5" customHeight="1">
      <c r="B44" s="15" t="inlineStr">
        <is>
          <t>Current</t>
        </is>
      </c>
      <c r="C44" s="16" t="inlineStr"/>
      <c r="D44" s="16" t="inlineStr">
        <is>
          <t>Days since the last completed contact are within 75 percent of the cadence.</t>
        </is>
      </c>
    </row>
    <row r="45" ht="16.5" customHeight="1">
      <c r="B45" s="15" t="inlineStr">
        <is>
          <t>Due Soon</t>
        </is>
      </c>
      <c r="C45" s="16" t="inlineStr"/>
      <c r="D45" s="16" t="inlineStr">
        <is>
          <t>Between 75 and 100 percent of the cadence has passed.</t>
        </is>
      </c>
    </row>
    <row r="46" ht="16.5" customHeight="1">
      <c r="B46" s="15" t="inlineStr">
        <is>
          <t>Overdue</t>
        </is>
      </c>
      <c r="C46" s="16" t="inlineStr"/>
      <c r="D46" s="16" t="inlineStr">
        <is>
          <t>More days have passed than the cadence allows.</t>
        </is>
      </c>
    </row>
    <row r="47" ht="16.5" customHeight="1">
      <c r="B47" s="15" t="inlineStr">
        <is>
          <t>No Contact Logged</t>
        </is>
      </c>
      <c r="C47" s="16" t="inlineStr"/>
      <c r="D47" s="16" t="inlineStr">
        <is>
          <t>No completed, non-internal action is linked to this relationship.</t>
        </is>
      </c>
    </row>
    <row r="48" ht="16.5" customHeight="1">
      <c r="B48" s="15" t="inlineStr">
        <is>
          <t>As Needed</t>
        </is>
      </c>
      <c r="C48" s="16" t="inlineStr"/>
      <c r="D48" s="16" t="inlineStr">
        <is>
          <t>Cadence is As Needed, so no clock runs.</t>
        </is>
      </c>
    </row>
    <row r="49" ht="30" customHeight="1">
      <c r="B49" s="15" t="inlineStr">
        <is>
          <t>Last Contact</t>
        </is>
      </c>
      <c r="C49" s="16" t="inlineStr"/>
      <c r="D49" s="16" t="inlineStr">
        <is>
          <t>The latest date of a Complete action linked to the Relationship ID. Internal Clearance actions are excluded.</t>
        </is>
      </c>
    </row>
    <row r="51">
      <c r="B51" s="3" t="inlineStr">
        <is>
          <t>PRIORITIES</t>
        </is>
      </c>
      <c r="C51" s="4" t="n"/>
      <c r="D51" s="4" t="n"/>
      <c r="E51" s="4" t="n"/>
    </row>
    <row r="52">
      <c r="B52" s="14" t="inlineStr">
        <is>
          <t>Term</t>
        </is>
      </c>
      <c r="C52" s="14" t="inlineStr"/>
      <c r="D52" s="14" t="inlineStr">
        <is>
          <t>Meaning</t>
        </is>
      </c>
    </row>
    <row r="53" ht="30" customHeight="1">
      <c r="B53" s="15" t="inlineStr">
        <is>
          <t>Track</t>
        </is>
      </c>
      <c r="C53" s="16" t="inlineStr"/>
      <c r="D53" s="16" t="inlineStr">
        <is>
          <t>Legislative means action by a legislative body. Administrative means action by an agency, executive, or other decision-maker outside a legislature.</t>
        </is>
      </c>
    </row>
    <row r="54" ht="30" customHeight="1">
      <c r="B54" s="15" t="inlineStr">
        <is>
          <t>Our Position</t>
        </is>
      </c>
      <c r="C54" s="16" t="inlineStr"/>
      <c r="D54" s="16" t="inlineStr">
        <is>
          <t>Support, Oppose, Amend (support only if changed), Seek (you are asking for a result), Monitor (watch only), Undecided (no cleared position yet).</t>
        </is>
      </c>
    </row>
    <row r="55" ht="30" customHeight="1">
      <c r="B55" s="15" t="inlineStr">
        <is>
          <t>Clearance</t>
        </is>
      </c>
      <c r="C55" s="16" t="inlineStr"/>
      <c r="D55" s="16" t="inlineStr">
        <is>
          <t>Whether the position has cleared your internal process. Monitor items do not need clearance.</t>
        </is>
      </c>
    </row>
    <row r="56" ht="16.5" customHeight="1">
      <c r="B56" s="15" t="inlineStr">
        <is>
          <t>Open</t>
        </is>
      </c>
      <c r="C56" s="16" t="inlineStr"/>
      <c r="D56" s="16" t="inlineStr">
        <is>
          <t>1 unless the stage is Resolved Favorable, Resolved Unfavorable, or Inactive.</t>
        </is>
      </c>
    </row>
    <row r="57" ht="30" customHeight="1">
      <c r="B57" s="15" t="inlineStr">
        <is>
          <t>Attention (calculated)</t>
        </is>
      </c>
      <c r="C57" s="16" t="inlineStr"/>
      <c r="D57" s="16" t="inlineStr">
        <is>
          <t>Clearance Needed: an open item with a position other than Monitor that is not Cleared. Key Date Within 14 Days or Key Date Passed: based on Next Key Date.</t>
        </is>
      </c>
    </row>
    <row r="59">
      <c r="B59" s="3" t="inlineStr">
        <is>
          <t>RISKS</t>
        </is>
      </c>
      <c r="C59" s="4" t="n"/>
      <c r="D59" s="4" t="n"/>
      <c r="E59" s="4" t="n"/>
    </row>
    <row r="60">
      <c r="B60" s="14" t="inlineStr">
        <is>
          <t>Term</t>
        </is>
      </c>
      <c r="C60" s="14" t="inlineStr"/>
      <c r="D60" s="14" t="inlineStr">
        <is>
          <t>Meaning</t>
        </is>
      </c>
    </row>
    <row r="61" ht="16.5" customHeight="1">
      <c r="B61" s="15" t="inlineStr">
        <is>
          <t>Likelihood and Impact</t>
        </is>
      </c>
      <c r="C61" s="16" t="inlineStr"/>
      <c r="D61" s="16" t="inlineStr">
        <is>
          <t>Low scores 1, Moderate 2, High 3.</t>
        </is>
      </c>
    </row>
    <row r="62" ht="30" customHeight="1">
      <c r="B62" s="15" t="inlineStr">
        <is>
          <t>Exposure (calculated)</t>
        </is>
      </c>
      <c r="C62" s="16" t="inlineStr"/>
      <c r="D62" s="16" t="inlineStr">
        <is>
          <t>Likelihood score multiplied by Impact score. Possible values are 1, 2, 3, 4, 6, and 9.</t>
        </is>
      </c>
    </row>
    <row r="63" ht="30" customHeight="1">
      <c r="B63" s="15" t="inlineStr">
        <is>
          <t>Rating (calculated)</t>
        </is>
      </c>
      <c r="C63" s="16" t="inlineStr"/>
      <c r="D63" s="16" t="inlineStr">
        <is>
          <t>High for exposure of 6 or more, Moderate for 3 or 4, Low for 1 or 2. A sorting aid to focus review time, not a measure of performance.</t>
        </is>
      </c>
    </row>
    <row r="64" ht="30" customHeight="1">
      <c r="B64" s="15" t="inlineStr">
        <is>
          <t>Review Flag (calculated)</t>
        </is>
      </c>
      <c r="C64" s="16" t="inlineStr"/>
      <c r="D64" s="16" t="inlineStr">
        <is>
          <t>Review Overdue when the last review is older than the risk review interval on the Instructions sheet. Never Reviewed when no review date is entered.</t>
        </is>
      </c>
    </row>
    <row r="65" ht="30" customHeight="1">
      <c r="B65" s="15" t="inlineStr">
        <is>
          <t>Escalation Level</t>
        </is>
      </c>
      <c r="C65" s="16" t="inlineStr"/>
      <c r="D65" s="16" t="inlineStr">
        <is>
          <t>The highest level this risk has been raised to. Log each escalation on the Escalations sheet.</t>
        </is>
      </c>
    </row>
    <row r="67">
      <c r="B67" s="3" t="inlineStr">
        <is>
          <t>CALCULATED FLAGS</t>
        </is>
      </c>
      <c r="C67" s="4" t="n"/>
      <c r="D67" s="4" t="n"/>
      <c r="E67" s="4" t="n"/>
    </row>
    <row r="68">
      <c r="B68" s="14" t="inlineStr">
        <is>
          <t>Flag</t>
        </is>
      </c>
      <c r="C68" s="14" t="inlineStr">
        <is>
          <t>Where</t>
        </is>
      </c>
      <c r="D68" s="14" t="inlineStr">
        <is>
          <t>Meaning</t>
        </is>
      </c>
    </row>
    <row r="69" ht="16.5" customHeight="1">
      <c r="B69" s="15" t="inlineStr">
        <is>
          <t>Overdue</t>
        </is>
      </c>
      <c r="C69" s="16" t="inlineStr">
        <is>
          <t>Milestones</t>
        </is>
      </c>
      <c r="D69" s="16" t="inlineStr">
        <is>
          <t>Not complete and the effective due date is before the report date.</t>
        </is>
      </c>
    </row>
    <row r="70" ht="16.5" customHeight="1">
      <c r="B70" s="15" t="inlineStr">
        <is>
          <t>Due Within 14 Days</t>
        </is>
      </c>
      <c r="C70" s="16" t="inlineStr">
        <is>
          <t>Milestones</t>
        </is>
      </c>
      <c r="D70" s="16" t="inlineStr">
        <is>
          <t>Not complete and due within 14 days of the report date.</t>
        </is>
      </c>
    </row>
    <row r="71" ht="30" customHeight="1">
      <c r="B71" s="15" t="inlineStr">
        <is>
          <t>Completed Late</t>
        </is>
      </c>
      <c r="C71" s="16" t="inlineStr">
        <is>
          <t>Milestones</t>
        </is>
      </c>
      <c r="D71" s="16" t="inlineStr">
        <is>
          <t>Completed after the effective due date. A milestone moved with Revised Due Date is judged against the revised date.</t>
        </is>
      </c>
    </row>
    <row r="72" ht="16.5" customHeight="1">
      <c r="B72" s="15" t="inlineStr">
        <is>
          <t>Overdue</t>
        </is>
      </c>
      <c r="C72" s="16" t="inlineStr">
        <is>
          <t>Actions</t>
        </is>
      </c>
      <c r="D72" s="16" t="inlineStr">
        <is>
          <t>Planned or In Progress with a date before the report date.</t>
        </is>
      </c>
    </row>
    <row r="73" ht="16.5" customHeight="1">
      <c r="B73" s="15" t="inlineStr">
        <is>
          <t>Past Due</t>
        </is>
      </c>
      <c r="C73" s="16" t="inlineStr">
        <is>
          <t>Escalations</t>
        </is>
      </c>
      <c r="D73" s="16" t="inlineStr">
        <is>
          <t>No resolution date and the response date has passed.</t>
        </is>
      </c>
    </row>
    <row r="74" ht="30" customHeight="1">
      <c r="B74" s="15" t="inlineStr">
        <is>
          <t>Improved, Declined, Unchanged</t>
        </is>
      </c>
      <c r="C74" s="16" t="inlineStr">
        <is>
          <t>Quarterly Review</t>
        </is>
      </c>
      <c r="D74" s="16" t="inlineStr">
        <is>
          <t>Compares status with the prior quarter using this order: Off Track, At Risk, On Track, Complete.</t>
        </is>
      </c>
    </row>
    <row r="75" ht="30" customHeight="1">
      <c r="B75" s="15" t="inlineStr">
        <is>
          <t>Percent Complete</t>
        </is>
      </c>
      <c r="C75" s="16" t="inlineStr">
        <is>
          <t>Objectives</t>
        </is>
      </c>
      <c r="D75" s="16" t="inlineStr">
        <is>
          <t>Completed milestones divided by all milestones linked to the objective. It measures schedule progress, not whether the outcome will occur.</t>
        </is>
      </c>
    </row>
    <row r="77">
      <c r="B77" s="3" t="inlineStr">
        <is>
          <t>FIELD GUIDE: WHAT TO ENTER IN EACH INPUT COLUMN</t>
        </is>
      </c>
      <c r="C77" s="4" t="n"/>
      <c r="D77" s="4" t="n"/>
      <c r="E77" s="4" t="n"/>
    </row>
    <row r="78">
      <c r="B78" s="14" t="inlineStr">
        <is>
          <t>Sheet and column</t>
        </is>
      </c>
      <c r="C78" s="14" t="inlineStr">
        <is>
          <t>Example</t>
        </is>
      </c>
      <c r="D78" s="14" t="inlineStr">
        <is>
          <t>What to enter</t>
        </is>
      </c>
    </row>
    <row r="79" ht="30" customHeight="1">
      <c r="B79" s="16" t="inlineStr">
        <is>
          <t>Objectives: ID</t>
        </is>
      </c>
      <c r="C79" s="16" t="inlineStr">
        <is>
          <t>OBJ-1</t>
        </is>
      </c>
      <c r="D79" s="16" t="inlineStr">
        <is>
          <t>Short unique code. Every other sheet picks from these IDs, so enter objectives first.</t>
        </is>
      </c>
    </row>
    <row r="80" ht="43.5" customHeight="1">
      <c r="B80" s="16" t="inlineStr">
        <is>
          <t>Objectives: Objective</t>
        </is>
      </c>
      <c r="C80" s="16" t="inlineStr">
        <is>
          <t>Secure state enabling authority for a county transportation local-option sales tax</t>
        </is>
      </c>
      <c r="D80" s="16" t="inlineStr">
        <is>
          <t>One sentence naming the result, not the activity.</t>
        </is>
      </c>
    </row>
    <row r="81" ht="16.5" customHeight="1">
      <c r="B81" s="16" t="inlineStr">
        <is>
          <t>Objectives: Type</t>
        </is>
      </c>
      <c r="C81" s="16" t="inlineStr">
        <is>
          <t>Legislative</t>
        </is>
      </c>
      <c r="D81" s="16" t="inlineStr">
        <is>
          <t>The kind of work that dominates the objective.</t>
        </is>
      </c>
    </row>
    <row r="82" ht="57" customHeight="1">
      <c r="B82" s="16" t="inlineStr">
        <is>
          <t>Objectives: Intended Outcome</t>
        </is>
      </c>
      <c r="C82" s="16" t="inlineStr">
        <is>
          <t>The General Assembly enacts SB 214 with a rate ceiling of at least 0.5 percent and bridge capital eligible.</t>
        </is>
      </c>
      <c r="D82" s="16" t="inlineStr">
        <is>
          <t>The end state a person outside your office could verify.</t>
        </is>
      </c>
    </row>
    <row r="83" ht="30" customHeight="1">
      <c r="B83" s="16" t="inlineStr">
        <is>
          <t>Objectives: Success Measure</t>
        </is>
      </c>
      <c r="C83" s="16" t="inlineStr">
        <is>
          <t>SB 214 enacted with county option intact</t>
        </is>
      </c>
      <c r="D83" s="16" t="inlineStr">
        <is>
          <t>What you will check to decide whether the outcome occurred.</t>
        </is>
      </c>
    </row>
    <row r="84" ht="16.5" customHeight="1">
      <c r="B84" s="16" t="inlineStr">
        <is>
          <t>Objectives: Baseline</t>
        </is>
      </c>
      <c r="C84" s="16" t="inlineStr">
        <is>
          <t>No county authority today</t>
        </is>
      </c>
      <c r="D84" s="16" t="inlineStr">
        <is>
          <t>Where things stand when the plan year starts.</t>
        </is>
      </c>
    </row>
    <row r="85" ht="30" customHeight="1">
      <c r="B85" s="16" t="inlineStr">
        <is>
          <t>Objectives: Target</t>
        </is>
      </c>
      <c r="C85" s="16" t="inlineStr">
        <is>
          <t>Enacted by the governor's action deadline</t>
        </is>
      </c>
      <c r="D85" s="16" t="inlineStr">
        <is>
          <t>The result and date that count as success.</t>
        </is>
      </c>
    </row>
    <row r="86" ht="30" customHeight="1">
      <c r="B86" s="16" t="inlineStr">
        <is>
          <t>Objectives: Executive Priority</t>
        </is>
      </c>
      <c r="C86" s="16" t="inlineStr">
        <is>
          <t>EP-1</t>
        </is>
      </c>
      <c r="D86" s="16" t="inlineStr">
        <is>
          <t>The leadership priority this objective serves, using the ID from the plan.</t>
        </is>
      </c>
    </row>
    <row r="87" ht="16.5" customHeight="1">
      <c r="B87" s="16" t="inlineStr">
        <is>
          <t>Objectives: Lead</t>
        </is>
      </c>
      <c r="C87" s="16" t="inlineStr">
        <is>
          <t>Jordan Pike</t>
        </is>
      </c>
      <c r="D87" s="16" t="inlineStr">
        <is>
          <t>One accountable person.</t>
        </is>
      </c>
    </row>
    <row r="88" ht="16.5" customHeight="1">
      <c r="B88" s="16" t="inlineStr">
        <is>
          <t>Objectives: Support</t>
        </is>
      </c>
      <c r="C88" s="16" t="inlineStr">
        <is>
          <t>Elena Marsh</t>
        </is>
      </c>
      <c r="D88" s="16" t="inlineStr">
        <is>
          <t>Other people who carry part of the work.</t>
        </is>
      </c>
    </row>
    <row r="89" ht="16.5" customHeight="1">
      <c r="B89" s="16" t="inlineStr">
        <is>
          <t>Objectives: Start Date</t>
        </is>
      </c>
      <c r="C89" s="16" t="inlineStr">
        <is>
          <t>Jan 4, 2027</t>
        </is>
      </c>
      <c r="D89" s="16" t="inlineStr">
        <is>
          <t>When work begins.</t>
        </is>
      </c>
    </row>
    <row r="90" ht="16.5" customHeight="1">
      <c r="B90" s="16" t="inlineStr">
        <is>
          <t>Objectives: Target Date</t>
        </is>
      </c>
      <c r="C90" s="16" t="inlineStr">
        <is>
          <t>May 28, 2027</t>
        </is>
      </c>
      <c r="D90" s="16" t="inlineStr">
        <is>
          <t>When the outcome is due.</t>
        </is>
      </c>
    </row>
    <row r="91" ht="16.5" customHeight="1">
      <c r="B91" s="16" t="inlineStr">
        <is>
          <t>Objectives: Status</t>
        </is>
      </c>
      <c r="C91" s="16" t="inlineStr">
        <is>
          <t>On Track</t>
        </is>
      </c>
      <c r="D91" s="16" t="inlineStr">
        <is>
          <t>Your judgment as of the last review. See Definitions.</t>
        </is>
      </c>
    </row>
    <row r="92" ht="30" customHeight="1">
      <c r="B92" s="16" t="inlineStr">
        <is>
          <t>Objectives: Status Note</t>
        </is>
      </c>
      <c r="C92" s="16" t="inlineStr">
        <is>
          <t>Passed the originating chamber Mar 10.</t>
        </is>
      </c>
      <c r="D92" s="16" t="inlineStr">
        <is>
          <t>One or two sentences leadership should know now.</t>
        </is>
      </c>
    </row>
    <row r="93" ht="16.5" customHeight="1">
      <c r="B93" s="16" t="inlineStr">
        <is>
          <t>Relationships: ID</t>
        </is>
      </c>
      <c r="C93" s="16" t="inlineStr">
        <is>
          <t>REL-01</t>
        </is>
      </c>
      <c r="D93" s="16" t="inlineStr">
        <is>
          <t>Short unique code.</t>
        </is>
      </c>
    </row>
    <row r="94" ht="30" customHeight="1">
      <c r="B94" s="16" t="inlineStr">
        <is>
          <t>Relationships: Government or Institution</t>
        </is>
      </c>
      <c r="C94" s="16" t="inlineStr">
        <is>
          <t>Marlow Department of Transportation</t>
        </is>
      </c>
      <c r="D94" s="16" t="inlineStr">
        <is>
          <t>The institution, not an individual.</t>
        </is>
      </c>
    </row>
    <row r="95" ht="16.5" customHeight="1">
      <c r="B95" s="16" t="inlineStr">
        <is>
          <t>Relationships: Level</t>
        </is>
      </c>
      <c r="C95" s="16" t="inlineStr">
        <is>
          <t>State</t>
        </is>
      </c>
      <c r="D95" s="16" t="inlineStr">
        <is>
          <t>Level of government.</t>
        </is>
      </c>
    </row>
    <row r="96" ht="16.5" customHeight="1">
      <c r="B96" s="16" t="inlineStr">
        <is>
          <t>Relationships: Key Contact</t>
        </is>
      </c>
      <c r="C96" s="16" t="inlineStr">
        <is>
          <t>Marcus Bell</t>
        </is>
      </c>
      <c r="D96" s="16" t="inlineStr">
        <is>
          <t>Primary counterpart. Use a title if the name is not confirmed.</t>
        </is>
      </c>
    </row>
    <row r="97" ht="30" customHeight="1">
      <c r="B97" s="16" t="inlineStr">
        <is>
          <t>Relationships: Contact Title</t>
        </is>
      </c>
      <c r="C97" s="16" t="inlineStr">
        <is>
          <t>Deputy Secretary for Local Programs</t>
        </is>
      </c>
      <c r="D97" s="16" t="inlineStr">
        <is>
          <t>Counterpart's position.</t>
        </is>
      </c>
    </row>
    <row r="98" ht="16.5" customHeight="1">
      <c r="B98" s="16" t="inlineStr">
        <is>
          <t>Relationships: Our Lead</t>
        </is>
      </c>
      <c r="C98" s="16" t="inlineStr">
        <is>
          <t>Samuel Ortega</t>
        </is>
      </c>
      <c r="D98" s="16" t="inlineStr">
        <is>
          <t>The one person who owns the relationship on our side.</t>
        </is>
      </c>
    </row>
    <row r="99" ht="16.5" customHeight="1">
      <c r="B99" s="16" t="inlineStr">
        <is>
          <t>Relationships: Tier</t>
        </is>
      </c>
      <c r="C99" s="16" t="inlineStr">
        <is>
          <t>Tier 1 Strategic</t>
        </is>
      </c>
      <c r="D99" s="16" t="inlineStr">
        <is>
          <t>Where relationship effort goes. See Definitions.</t>
        </is>
      </c>
    </row>
    <row r="100" ht="16.5" customHeight="1">
      <c r="B100" s="16" t="inlineStr">
        <is>
          <t>Relationships: Posture</t>
        </is>
      </c>
      <c r="C100" s="16" t="inlineStr">
        <is>
          <t>Aligned</t>
        </is>
      </c>
      <c r="D100" s="16" t="inlineStr">
        <is>
          <t>Their position on our current agenda.</t>
        </is>
      </c>
    </row>
    <row r="101" ht="30" customHeight="1">
      <c r="B101" s="16" t="inlineStr">
        <is>
          <t>Relationships: Relationship Health</t>
        </is>
      </c>
      <c r="C101" s="16" t="inlineStr">
        <is>
          <t>Working</t>
        </is>
      </c>
      <c r="D101" s="16" t="inlineStr">
        <is>
          <t>The quality of the working relationship, separate from agreement on issues.</t>
        </is>
      </c>
    </row>
    <row r="102" ht="30" customHeight="1">
      <c r="B102" s="16" t="inlineStr">
        <is>
          <t>Relationships: What They Need From Us</t>
        </is>
      </c>
      <c r="C102" s="16" t="inlineStr">
        <is>
          <t>An executed local agreement and a formal match request</t>
        </is>
      </c>
      <c r="D102" s="16" t="inlineStr">
        <is>
          <t>Their interests and requirements, stated from their side.</t>
        </is>
      </c>
    </row>
    <row r="103" ht="30" customHeight="1">
      <c r="B103" s="16" t="inlineStr">
        <is>
          <t>Relationships: What We Need From Them</t>
        </is>
      </c>
      <c r="C103" s="16" t="inlineStr">
        <is>
          <t>Written match commitment before the application is finalized</t>
        </is>
      </c>
      <c r="D103" s="16" t="inlineStr">
        <is>
          <t>The specific ask, tied to an objective.</t>
        </is>
      </c>
    </row>
    <row r="104" ht="30" customHeight="1">
      <c r="B104" s="16" t="inlineStr">
        <is>
          <t>Relationships: Objective ID</t>
        </is>
      </c>
      <c r="C104" s="16" t="inlineStr">
        <is>
          <t>OBJ-3</t>
        </is>
      </c>
      <c r="D104" s="16" t="inlineStr">
        <is>
          <t>The objective this relationship matters most to.</t>
        </is>
      </c>
    </row>
    <row r="105" ht="16.5" customHeight="1">
      <c r="B105" s="16" t="inlineStr">
        <is>
          <t>Relationships: Cadence</t>
        </is>
      </c>
      <c r="C105" s="16" t="inlineStr">
        <is>
          <t>Monthly</t>
        </is>
      </c>
      <c r="D105" s="16" t="inlineStr">
        <is>
          <t>How often you should be in contact. Drives the contact status.</t>
        </is>
      </c>
    </row>
    <row r="106" ht="30" customHeight="1">
      <c r="B106" s="16" t="inlineStr">
        <is>
          <t>Relationships: Notes</t>
        </is>
      </c>
      <c r="C106" s="16" t="inlineStr">
        <is>
          <t>Staff estimate about eight weeks for internal sign-off.</t>
        </is>
      </c>
      <c r="D106" s="16" t="inlineStr">
        <is>
          <t>Context a successor would need.</t>
        </is>
      </c>
    </row>
    <row r="107" ht="30" customHeight="1">
      <c r="B107" s="16" t="inlineStr">
        <is>
          <t>Priorities: ID</t>
        </is>
      </c>
      <c r="C107" s="16" t="inlineStr">
        <is>
          <t>LEG-01</t>
        </is>
      </c>
      <c r="D107" s="16" t="inlineStr">
        <is>
          <t>Short unique code. LEG for legislative, ADM for administrative is a useful habit.</t>
        </is>
      </c>
    </row>
    <row r="108" ht="30" customHeight="1">
      <c r="B108" s="16" t="inlineStr">
        <is>
          <t>Priorities: Track</t>
        </is>
      </c>
      <c r="C108" s="16" t="inlineStr">
        <is>
          <t>Legislative</t>
        </is>
      </c>
      <c r="D108" s="16" t="inlineStr">
        <is>
          <t>Legislative: action by a legislative body. Administrative: action by an agency or executive body.</t>
        </is>
      </c>
    </row>
    <row r="109" ht="16.5" customHeight="1">
      <c r="B109" s="16" t="inlineStr">
        <is>
          <t>Priorities: Item Type</t>
        </is>
      </c>
      <c r="C109" s="16" t="inlineStr">
        <is>
          <t>Bill</t>
        </is>
      </c>
      <c r="D109" s="16" t="inlineStr">
        <is>
          <t>The kind of matter.</t>
        </is>
      </c>
    </row>
    <row r="110" ht="30" customHeight="1">
      <c r="B110" s="16" t="inlineStr">
        <is>
          <t>Priorities: Measure or Matter</t>
        </is>
      </c>
      <c r="C110" s="16" t="inlineStr">
        <is>
          <t>SB 214, Local Transportation Sales Tax Authorization</t>
        </is>
      </c>
      <c r="D110" s="16" t="inlineStr">
        <is>
          <t>Bill number and short title, rule docket, grant round, or agreement.</t>
        </is>
      </c>
    </row>
    <row r="111" ht="16.5" customHeight="1">
      <c r="B111" s="16" t="inlineStr">
        <is>
          <t>Priorities: Body or Agency</t>
        </is>
      </c>
      <c r="C111" s="16" t="inlineStr">
        <is>
          <t>Marlow General Assembly</t>
        </is>
      </c>
      <c r="D111" s="16" t="inlineStr">
        <is>
          <t>Who decides.</t>
        </is>
      </c>
    </row>
    <row r="112" ht="16.5" customHeight="1">
      <c r="B112" s="16" t="inlineStr">
        <is>
          <t>Priorities: Level</t>
        </is>
      </c>
      <c r="C112" s="16" t="inlineStr">
        <is>
          <t>State</t>
        </is>
      </c>
      <c r="D112" s="16" t="inlineStr">
        <is>
          <t>Level of government that decides.</t>
        </is>
      </c>
    </row>
    <row r="113" ht="16.5" customHeight="1">
      <c r="B113" s="16" t="inlineStr">
        <is>
          <t>Priorities: Our Position</t>
        </is>
      </c>
      <c r="C113" s="16" t="inlineStr">
        <is>
          <t>Support</t>
        </is>
      </c>
      <c r="D113" s="16" t="inlineStr">
        <is>
          <t>Position as cleared. Use Undecided until leadership clears one.</t>
        </is>
      </c>
    </row>
    <row r="114" ht="16.5" customHeight="1">
      <c r="B114" s="16" t="inlineStr">
        <is>
          <t>Priorities: Objective ID</t>
        </is>
      </c>
      <c r="C114" s="16" t="inlineStr">
        <is>
          <t>OBJ-1</t>
        </is>
      </c>
      <c r="D114" s="16" t="inlineStr">
        <is>
          <t>The objective this item serves.</t>
        </is>
      </c>
    </row>
    <row r="115" ht="16.5" customHeight="1">
      <c r="B115" s="16" t="inlineStr">
        <is>
          <t>Priorities: Lead</t>
        </is>
      </c>
      <c r="C115" s="16" t="inlineStr">
        <is>
          <t>Jordan Pike</t>
        </is>
      </c>
      <c r="D115" s="16" t="inlineStr">
        <is>
          <t>One accountable person.</t>
        </is>
      </c>
    </row>
    <row r="116" ht="30" customHeight="1">
      <c r="B116" s="16" t="inlineStr">
        <is>
          <t>Priorities: Stage</t>
        </is>
      </c>
      <c r="C116" s="16" t="inlineStr">
        <is>
          <t>Active Consideration</t>
        </is>
      </c>
      <c r="D116" s="16" t="inlineStr">
        <is>
          <t>Where the matter stands. Resolved or Inactive items drop out of the open counts.</t>
        </is>
      </c>
    </row>
    <row r="117" ht="16.5" customHeight="1">
      <c r="B117" s="16" t="inlineStr">
        <is>
          <t>Priorities: Clearance</t>
        </is>
      </c>
      <c r="C117" s="16" t="inlineStr">
        <is>
          <t>Cleared</t>
        </is>
      </c>
      <c r="D117" s="16" t="inlineStr">
        <is>
          <t>Whether the position has cleared your internal process.</t>
        </is>
      </c>
    </row>
    <row r="118" ht="16.5" customHeight="1">
      <c r="B118" s="16" t="inlineStr">
        <is>
          <t>Priorities: Next Key Date</t>
        </is>
      </c>
      <c r="C118" s="16" t="inlineStr">
        <is>
          <t>Apr 14, 2027</t>
        </is>
      </c>
      <c r="D118" s="16" t="inlineStr">
        <is>
          <t>The next date that changes what you must do.</t>
        </is>
      </c>
    </row>
    <row r="119" ht="30" customHeight="1">
      <c r="B119" s="16" t="inlineStr">
        <is>
          <t>Priorities: Key Date Description</t>
        </is>
      </c>
      <c r="C119" s="16" t="inlineStr">
        <is>
          <t>House committee vote</t>
        </is>
      </c>
      <c r="D119" s="16" t="inlineStr">
        <is>
          <t>What happens on that date.</t>
        </is>
      </c>
    </row>
    <row r="120" ht="30" customHeight="1">
      <c r="B120" s="16" t="inlineStr">
        <is>
          <t>Priorities: Desired Outcome</t>
        </is>
      </c>
      <c r="C120" s="16" t="inlineStr">
        <is>
          <t>Enactment with rate ceiling of at least 0.5 percent</t>
        </is>
      </c>
      <c r="D120" s="16" t="inlineStr">
        <is>
          <t>What a good result looks like, specific enough to judge.</t>
        </is>
      </c>
    </row>
    <row r="121" ht="30" customHeight="1">
      <c r="B121" s="16" t="inlineStr">
        <is>
          <t>Priorities: Notes</t>
        </is>
      </c>
      <c r="C121" s="16" t="inlineStr">
        <is>
          <t>Riverton wants a distribution share.</t>
        </is>
      </c>
      <c r="D121" s="16" t="inlineStr">
        <is>
          <t>Competing interests, conditions, and links to other items.</t>
        </is>
      </c>
    </row>
    <row r="122" ht="16.5" customHeight="1">
      <c r="B122" s="16" t="inlineStr">
        <is>
          <t>Actions: ID</t>
        </is>
      </c>
      <c r="C122" s="16" t="inlineStr">
        <is>
          <t>ACT-001</t>
        </is>
      </c>
      <c r="D122" s="16" t="inlineStr">
        <is>
          <t>Short unique code.</t>
        </is>
      </c>
    </row>
    <row r="123" ht="16.5" customHeight="1">
      <c r="B123" s="16" t="inlineStr">
        <is>
          <t>Actions: Date</t>
        </is>
      </c>
      <c r="C123" s="16" t="inlineStr">
        <is>
          <t>Mar 8, 2027</t>
        </is>
      </c>
      <c r="D123" s="16" t="inlineStr">
        <is>
          <t>Actual date for completed actions. Planned date for upcoming ones.</t>
        </is>
      </c>
    </row>
    <row r="124" ht="30" customHeight="1">
      <c r="B124" s="16" t="inlineStr">
        <is>
          <t>Actions: Action Type</t>
        </is>
      </c>
      <c r="C124" s="16" t="inlineStr">
        <is>
          <t>Meeting</t>
        </is>
      </c>
      <c r="D124" s="16" t="inlineStr">
        <is>
          <t>Internal Clearance is internal work and does not count as contact with another government.</t>
        </is>
      </c>
    </row>
    <row r="125" ht="43.5" customHeight="1">
      <c r="B125" s="16" t="inlineStr">
        <is>
          <t>Actions: Description</t>
        </is>
      </c>
      <c r="C125" s="16" t="inlineStr">
        <is>
          <t>Meet State DOT local programs staff on the bridge match commitment</t>
        </is>
      </c>
      <c r="D125" s="16" t="inlineStr">
        <is>
          <t>What was or will be done, with whom.</t>
        </is>
      </c>
    </row>
    <row r="126" ht="16.5" customHeight="1">
      <c r="B126" s="16" t="inlineStr">
        <is>
          <t>Actions: Objective ID</t>
        </is>
      </c>
      <c r="C126" s="16" t="inlineStr">
        <is>
          <t>OBJ-3</t>
        </is>
      </c>
      <c r="D126" s="16" t="inlineStr">
        <is>
          <t>The objective served.</t>
        </is>
      </c>
    </row>
    <row r="127" ht="16.5" customHeight="1">
      <c r="B127" s="16" t="inlineStr">
        <is>
          <t>Actions: Relationship ID</t>
        </is>
      </c>
      <c r="C127" s="16" t="inlineStr">
        <is>
          <t>REL-05</t>
        </is>
      </c>
      <c r="D127" s="16" t="inlineStr">
        <is>
          <t>The government or institution involved. Leave blank for internal work.</t>
        </is>
      </c>
    </row>
    <row r="128" ht="16.5" customHeight="1">
      <c r="B128" s="16" t="inlineStr">
        <is>
          <t>Actions: Priority ID</t>
        </is>
      </c>
      <c r="C128" s="16" t="inlineStr">
        <is>
          <t>ADM-02</t>
        </is>
      </c>
      <c r="D128" s="16" t="inlineStr">
        <is>
          <t>The legislative or administrative item involved, if any.</t>
        </is>
      </c>
    </row>
    <row r="129" ht="16.5" customHeight="1">
      <c r="B129" s="16" t="inlineStr">
        <is>
          <t>Actions: Owner</t>
        </is>
      </c>
      <c r="C129" s="16" t="inlineStr">
        <is>
          <t>Samuel Ortega</t>
        </is>
      </c>
      <c r="D129" s="16" t="inlineStr">
        <is>
          <t>Who does it.</t>
        </is>
      </c>
    </row>
    <row r="130" ht="16.5" customHeight="1">
      <c r="B130" s="16" t="inlineStr">
        <is>
          <t>Actions: Status</t>
        </is>
      </c>
      <c r="C130" s="16" t="inlineStr">
        <is>
          <t>Complete</t>
        </is>
      </c>
      <c r="D130" s="16" t="inlineStr">
        <is>
          <t>Planned, In Progress, Complete, Deferred, or Cancelled.</t>
        </is>
      </c>
    </row>
    <row r="131" ht="43.5" customHeight="1">
      <c r="B131" s="16" t="inlineStr">
        <is>
          <t>Actions: Outcome or Result</t>
        </is>
      </c>
      <c r="C131" s="16" t="inlineStr">
        <is>
          <t>State DOT said a match commitment requires an executed local agreement.</t>
        </is>
      </c>
      <c r="D131" s="16" t="inlineStr">
        <is>
          <t>What happened and what changed, not a description of the meeting.</t>
        </is>
      </c>
    </row>
    <row r="132" ht="30" customHeight="1">
      <c r="B132" s="16" t="inlineStr">
        <is>
          <t>Actions: Next Step</t>
        </is>
      </c>
      <c r="C132" s="16" t="inlineStr">
        <is>
          <t>Provide the agreement timeline to State DOT</t>
        </is>
      </c>
      <c r="D132" s="16" t="inlineStr">
        <is>
          <t>The single next action this created. Log it as its own Planned row.</t>
        </is>
      </c>
    </row>
    <row r="133" ht="16.5" customHeight="1">
      <c r="B133" s="16" t="inlineStr">
        <is>
          <t>Milestones: ID</t>
        </is>
      </c>
      <c r="C133" s="16" t="inlineStr">
        <is>
          <t>MS-001</t>
        </is>
      </c>
      <c r="D133" s="16" t="inlineStr">
        <is>
          <t>Short unique code.</t>
        </is>
      </c>
    </row>
    <row r="134" ht="30" customHeight="1">
      <c r="B134" s="16" t="inlineStr">
        <is>
          <t>Milestones: Milestone</t>
        </is>
      </c>
      <c r="C134" s="16" t="inlineStr">
        <is>
          <t>Written match commitment from State DOT</t>
        </is>
      </c>
      <c r="D134" s="16" t="inlineStr">
        <is>
          <t>A dated result, not an activity. Something is either done or it is not.</t>
        </is>
      </c>
    </row>
    <row r="135" ht="16.5" customHeight="1">
      <c r="B135" s="16" t="inlineStr">
        <is>
          <t>Milestones: Objective ID</t>
        </is>
      </c>
      <c r="C135" s="16" t="inlineStr">
        <is>
          <t>OBJ-3</t>
        </is>
      </c>
      <c r="D135" s="16" t="inlineStr">
        <is>
          <t>The objective served.</t>
        </is>
      </c>
    </row>
    <row r="136" ht="30" customHeight="1">
      <c r="B136" s="16" t="inlineStr">
        <is>
          <t>Milestones: Type</t>
        </is>
      </c>
      <c r="C136" s="16" t="inlineStr">
        <is>
          <t>Internal Target</t>
        </is>
      </c>
      <c r="D136" s="16" t="inlineStr">
        <is>
          <t>Fixed and Assumed external dates are set by others. Internal targets are yours.</t>
        </is>
      </c>
    </row>
    <row r="137" ht="16.5" customHeight="1">
      <c r="B137" s="16" t="inlineStr">
        <is>
          <t>Milestones: Owner</t>
        </is>
      </c>
      <c r="C137" s="16" t="inlineStr">
        <is>
          <t>Samuel Ortega</t>
        </is>
      </c>
      <c r="D137" s="16" t="inlineStr">
        <is>
          <t>One accountable person.</t>
        </is>
      </c>
    </row>
    <row r="138" ht="16.5" customHeight="1">
      <c r="B138" s="16" t="inlineStr">
        <is>
          <t>Milestones: Due Date</t>
        </is>
      </c>
      <c r="C138" s="16" t="inlineStr">
        <is>
          <t>Jul 30, 2027</t>
        </is>
      </c>
      <c r="D138" s="16" t="inlineStr">
        <is>
          <t>The original date. Do not overwrite it when the date moves.</t>
        </is>
      </c>
    </row>
    <row r="139" ht="30" customHeight="1">
      <c r="B139" s="16" t="inlineStr">
        <is>
          <t>Milestones: Revised Due Date</t>
        </is>
      </c>
      <c r="C139" s="16" t="inlineStr"/>
      <c r="D139" s="16" t="inlineStr">
        <is>
          <t>Enter a new date here when the schedule moves. The original stays visible.</t>
        </is>
      </c>
    </row>
    <row r="140" ht="16.5" customHeight="1">
      <c r="B140" s="16" t="inlineStr">
        <is>
          <t>Milestones: Status</t>
        </is>
      </c>
      <c r="C140" s="16" t="inlineStr">
        <is>
          <t>Not Started</t>
        </is>
      </c>
      <c r="D140" s="16" t="inlineStr">
        <is>
          <t>Not Started, In Progress, Complete, Delayed, or Blocked.</t>
        </is>
      </c>
    </row>
    <row r="141" ht="16.5" customHeight="1">
      <c r="B141" s="16" t="inlineStr">
        <is>
          <t>Milestones: Completed Date</t>
        </is>
      </c>
      <c r="C141" s="16" t="inlineStr"/>
      <c r="D141" s="16" t="inlineStr">
        <is>
          <t>Enter when status is Complete.</t>
        </is>
      </c>
    </row>
    <row r="142" ht="16.5" customHeight="1">
      <c r="B142" s="16" t="inlineStr">
        <is>
          <t>Milestones: Depends On</t>
        </is>
      </c>
      <c r="C142" s="16" t="inlineStr">
        <is>
          <t>MS-028</t>
        </is>
      </c>
      <c r="D142" s="16" t="inlineStr">
        <is>
          <t>The milestone that must finish first, if any.</t>
        </is>
      </c>
    </row>
    <row r="143" ht="16.5" customHeight="1">
      <c r="B143" s="16" t="inlineStr">
        <is>
          <t>Milestones: Critical Path</t>
        </is>
      </c>
      <c r="C143" s="16" t="inlineStr">
        <is>
          <t>Yes</t>
        </is>
      </c>
      <c r="D143" s="16" t="inlineStr">
        <is>
          <t>Yes if a slip here moves the objective's target date.</t>
        </is>
      </c>
    </row>
    <row r="144" ht="30" customHeight="1">
      <c r="B144" s="16" t="inlineStr">
        <is>
          <t>Milestones: Notes</t>
        </is>
      </c>
      <c r="C144" s="16" t="inlineStr">
        <is>
          <t>State DOT requires an executed local agreement.</t>
        </is>
      </c>
      <c r="D144" s="16" t="inlineStr">
        <is>
          <t>Blockers, assumptions, or what the date depends on.</t>
        </is>
      </c>
    </row>
    <row r="145" ht="16.5" customHeight="1">
      <c r="B145" s="16" t="inlineStr">
        <is>
          <t>Risks: ID</t>
        </is>
      </c>
      <c r="C145" s="16" t="inlineStr">
        <is>
          <t>RSK-01</t>
        </is>
      </c>
      <c r="D145" s="16" t="inlineStr">
        <is>
          <t>Short unique code.</t>
        </is>
      </c>
    </row>
    <row r="146" ht="57" customHeight="1">
      <c r="B146" s="16" t="inlineStr">
        <is>
          <t>Risks: Risk Statement</t>
        </is>
      </c>
      <c r="C146" s="16" t="inlineStr">
        <is>
          <t>SB 214 dies in committee or is amended to exclude bridge capital, leaving the County without a match source.</t>
        </is>
      </c>
      <c r="D146" s="16" t="inlineStr">
        <is>
          <t>Cause, event, and effect in one or two sentences.</t>
        </is>
      </c>
    </row>
    <row r="147" ht="16.5" customHeight="1">
      <c r="B147" s="16" t="inlineStr">
        <is>
          <t>Risks: Category</t>
        </is>
      </c>
      <c r="C147" s="16" t="inlineStr">
        <is>
          <t>Legislative</t>
        </is>
      </c>
      <c r="D147" s="16" t="inlineStr">
        <is>
          <t>The kind of risk.</t>
        </is>
      </c>
    </row>
    <row r="148" ht="16.5" customHeight="1">
      <c r="B148" s="16" t="inlineStr">
        <is>
          <t>Risks: Objective ID</t>
        </is>
      </c>
      <c r="C148" s="16" t="inlineStr">
        <is>
          <t>OBJ-1</t>
        </is>
      </c>
      <c r="D148" s="16" t="inlineStr">
        <is>
          <t>The objective at risk.</t>
        </is>
      </c>
    </row>
    <row r="149" ht="16.5" customHeight="1">
      <c r="B149" s="16" t="inlineStr">
        <is>
          <t>Risks: Likelihood</t>
        </is>
      </c>
      <c r="C149" s="16" t="inlineStr">
        <is>
          <t>Moderate</t>
        </is>
      </c>
      <c r="D149" s="16" t="inlineStr">
        <is>
          <t>Your judgment over the plan year.</t>
        </is>
      </c>
    </row>
    <row r="150" ht="16.5" customHeight="1">
      <c r="B150" s="16" t="inlineStr">
        <is>
          <t>Risks: Impact</t>
        </is>
      </c>
      <c r="C150" s="16" t="inlineStr">
        <is>
          <t>High</t>
        </is>
      </c>
      <c r="D150" s="16" t="inlineStr">
        <is>
          <t>Effect on the objective if the risk occurs.</t>
        </is>
      </c>
    </row>
    <row r="151" ht="43.5" customHeight="1">
      <c r="B151" s="16" t="inlineStr">
        <is>
          <t>Risks: Early Warning Indicator</t>
        </is>
      </c>
      <c r="C151" s="16" t="inlineStr">
        <is>
          <t>Hearing not noticed; amendments filed by a Riverton-aligned member.</t>
        </is>
      </c>
      <c r="D151" s="16" t="inlineStr">
        <is>
          <t>An observable sign the risk is becoming real.</t>
        </is>
      </c>
    </row>
    <row r="152" ht="30" customHeight="1">
      <c r="B152" s="16" t="inlineStr">
        <is>
          <t>Risks: Mitigation or Contingency</t>
        </is>
      </c>
      <c r="C152" s="16" t="inlineStr">
        <is>
          <t>Weekly vote count; match fallback prepared in parallel.</t>
        </is>
      </c>
      <c r="D152" s="16" t="inlineStr">
        <is>
          <t>What you do now and what you do if it happens.</t>
        </is>
      </c>
    </row>
    <row r="153" ht="16.5" customHeight="1">
      <c r="B153" s="16" t="inlineStr">
        <is>
          <t>Risks: Owner</t>
        </is>
      </c>
      <c r="C153" s="16" t="inlineStr">
        <is>
          <t>Jordan Pike</t>
        </is>
      </c>
      <c r="D153" s="16" t="inlineStr">
        <is>
          <t>Who watches the indicator and acts.</t>
        </is>
      </c>
    </row>
    <row r="154" ht="16.5" customHeight="1">
      <c r="B154" s="16" t="inlineStr">
        <is>
          <t>Risks: Status</t>
        </is>
      </c>
      <c r="C154" s="16" t="inlineStr">
        <is>
          <t>Mitigating</t>
        </is>
      </c>
      <c r="D154" s="16" t="inlineStr">
        <is>
          <t>Open, Mitigating, Escalated, Realized, or Closed.</t>
        </is>
      </c>
    </row>
    <row r="155" ht="16.5" customHeight="1">
      <c r="B155" s="16" t="inlineStr">
        <is>
          <t>Risks: Escalation Level</t>
        </is>
      </c>
      <c r="C155" s="16" t="inlineStr">
        <is>
          <t>None</t>
        </is>
      </c>
      <c r="D155" s="16" t="inlineStr">
        <is>
          <t>Highest level this risk has been raised to.</t>
        </is>
      </c>
    </row>
    <row r="156" ht="16.5" customHeight="1">
      <c r="B156" s="16" t="inlineStr">
        <is>
          <t>Risks: Date Identified</t>
        </is>
      </c>
      <c r="C156" s="16" t="inlineStr">
        <is>
          <t>Dec 14, 2026</t>
        </is>
      </c>
      <c r="D156" s="16" t="inlineStr">
        <is>
          <t>When it entered the register.</t>
        </is>
      </c>
    </row>
    <row r="157" ht="16.5" customHeight="1">
      <c r="B157" s="16" t="inlineStr">
        <is>
          <t>Risks: Last Reviewed</t>
        </is>
      </c>
      <c r="C157" s="16" t="inlineStr">
        <is>
          <t>Apr 5, 2027</t>
        </is>
      </c>
      <c r="D157" s="16" t="inlineStr">
        <is>
          <t>Update at each review, even if nothing changed.</t>
        </is>
      </c>
    </row>
    <row r="158" ht="16.5" customHeight="1">
      <c r="B158" s="16" t="inlineStr">
        <is>
          <t>Escalations: ID</t>
        </is>
      </c>
      <c r="C158" s="16" t="inlineStr">
        <is>
          <t>ESC-01</t>
        </is>
      </c>
      <c r="D158" s="16" t="inlineStr">
        <is>
          <t>Short unique code.</t>
        </is>
      </c>
    </row>
    <row r="159" ht="16.5" customHeight="1">
      <c r="B159" s="16" t="inlineStr">
        <is>
          <t>Escalations: Date Raised</t>
        </is>
      </c>
      <c r="C159" s="16" t="inlineStr">
        <is>
          <t>Mar 18, 2027</t>
        </is>
      </c>
      <c r="D159" s="16" t="inlineStr">
        <is>
          <t>When it went to the decision-maker.</t>
        </is>
      </c>
    </row>
    <row r="160" ht="16.5" customHeight="1">
      <c r="B160" s="16" t="inlineStr">
        <is>
          <t>Escalations: Risk ID</t>
        </is>
      </c>
      <c r="C160" s="16" t="inlineStr">
        <is>
          <t>RSK-04</t>
        </is>
      </c>
      <c r="D160" s="16" t="inlineStr">
        <is>
          <t>The risk this relates to, if any.</t>
        </is>
      </c>
    </row>
    <row r="161" ht="16.5" customHeight="1">
      <c r="B161" s="16" t="inlineStr">
        <is>
          <t>Escalations: Objective ID</t>
        </is>
      </c>
      <c r="C161" s="16" t="inlineStr">
        <is>
          <t>OBJ-4</t>
        </is>
      </c>
      <c r="D161" s="16" t="inlineStr">
        <is>
          <t>The objective affected.</t>
        </is>
      </c>
    </row>
    <row r="162" ht="30" customHeight="1">
      <c r="B162" s="16" t="inlineStr">
        <is>
          <t>Escalations: Issue</t>
        </is>
      </c>
      <c r="C162" s="16" t="inlineStr">
        <is>
          <t>Riverton and the County are deadlocked on cost allocation.</t>
        </is>
      </c>
      <c r="D162" s="16" t="inlineStr">
        <is>
          <t>What happened and why it cannot be resolved at your level.</t>
        </is>
      </c>
    </row>
    <row r="163" ht="16.5" customHeight="1">
      <c r="B163" s="16" t="inlineStr">
        <is>
          <t>Escalations: Escalated To</t>
        </is>
      </c>
      <c r="C163" s="16" t="inlineStr">
        <is>
          <t>Executive Sponsor</t>
        </is>
      </c>
      <c r="D163" s="16" t="inlineStr">
        <is>
          <t>Who must decide.</t>
        </is>
      </c>
    </row>
    <row r="164" ht="16.5" customHeight="1">
      <c r="B164" s="16" t="inlineStr">
        <is>
          <t>Escalations: Raised By</t>
        </is>
      </c>
      <c r="C164" s="16" t="inlineStr">
        <is>
          <t>Alicia Brandt</t>
        </is>
      </c>
      <c r="D164" s="16" t="inlineStr">
        <is>
          <t>Who brought it forward.</t>
        </is>
      </c>
    </row>
    <row r="165" ht="30" customHeight="1">
      <c r="B165" s="16" t="inlineStr">
        <is>
          <t>Escalations: Decision or Direction Requested</t>
        </is>
      </c>
      <c r="C165" s="16" t="inlineStr">
        <is>
          <t>Authorize a negotiating range for the County share.</t>
        </is>
      </c>
      <c r="D165" s="16" t="inlineStr">
        <is>
          <t>The specific decision. A request with no decision attached is a status update.</t>
        </is>
      </c>
    </row>
    <row r="166" ht="16.5" customHeight="1">
      <c r="B166" s="16" t="inlineStr">
        <is>
          <t>Escalations: Response Due</t>
        </is>
      </c>
      <c r="C166" s="16" t="inlineStr">
        <is>
          <t>Apr 2, 2027</t>
        </is>
      </c>
      <c r="D166" s="16" t="inlineStr">
        <is>
          <t>The date you need an answer to protect a milestone.</t>
        </is>
      </c>
    </row>
    <row r="167" ht="16.5" customHeight="1">
      <c r="B167" s="16" t="inlineStr">
        <is>
          <t>Escalations: Date Resolved</t>
        </is>
      </c>
      <c r="C167" s="16" t="inlineStr">
        <is>
          <t>Apr 1, 2027</t>
        </is>
      </c>
      <c r="D167" s="16" t="inlineStr">
        <is>
          <t>Enter when the decision is received.</t>
        </is>
      </c>
    </row>
    <row r="168" ht="16.5" customHeight="1">
      <c r="B168" s="16" t="inlineStr">
        <is>
          <t>Escalations: Decision Made</t>
        </is>
      </c>
      <c r="C168" s="16" t="inlineStr">
        <is>
          <t>Range authorized.</t>
        </is>
      </c>
      <c r="D168" s="16" t="inlineStr">
        <is>
          <t>What was decided, by whom, with any conditions.</t>
        </is>
      </c>
    </row>
    <row r="169" ht="16.5" customHeight="1">
      <c r="B169" s="16" t="inlineStr">
        <is>
          <t>Quarterly Review: Quarter</t>
        </is>
      </c>
      <c r="C169" s="16" t="inlineStr">
        <is>
          <t>Q1</t>
        </is>
      </c>
      <c r="D169" s="16" t="inlineStr">
        <is>
          <t>Plan quarter being reviewed.</t>
        </is>
      </c>
    </row>
    <row r="170" ht="30" customHeight="1">
      <c r="B170" s="16" t="inlineStr">
        <is>
          <t>Quarterly Review: Objective ID</t>
        </is>
      </c>
      <c r="C170" s="16" t="inlineStr">
        <is>
          <t>OBJ-3</t>
        </is>
      </c>
      <c r="D170" s="16" t="inlineStr">
        <is>
          <t>One row per objective per quarter.</t>
        </is>
      </c>
    </row>
    <row r="171" ht="30" customHeight="1">
      <c r="B171" s="16" t="inlineStr">
        <is>
          <t>Quarterly Review: Review Date</t>
        </is>
      </c>
      <c r="C171" s="16" t="inlineStr">
        <is>
          <t>Apr 6, 2027</t>
        </is>
      </c>
      <c r="D171" s="16" t="inlineStr">
        <is>
          <t>Date of the review meeting.</t>
        </is>
      </c>
    </row>
    <row r="172" ht="16.5" customHeight="1">
      <c r="B172" s="16" t="inlineStr">
        <is>
          <t>Quarterly Review: Status</t>
        </is>
      </c>
      <c r="C172" s="16" t="inlineStr">
        <is>
          <t>At Risk</t>
        </is>
      </c>
      <c r="D172" s="16" t="inlineStr">
        <is>
          <t>Status as agreed at the review. Update the Objectives sheet to match.</t>
        </is>
      </c>
    </row>
    <row r="173" ht="43.5" customHeight="1">
      <c r="B173" s="16" t="inlineStr">
        <is>
          <t>Quarterly Review: Evidence of Progress</t>
        </is>
      </c>
      <c r="C173" s="16" t="inlineStr">
        <is>
          <t>Go decision made Feb 25. Pre-application meeting held Mar 24.</t>
        </is>
      </c>
      <c r="D173" s="16" t="inlineStr">
        <is>
          <t>Facts that support the status: events, decisions, documents.</t>
        </is>
      </c>
    </row>
    <row r="174" ht="30" customHeight="1">
      <c r="B174" s="16" t="inlineStr">
        <is>
          <t>Quarterly Review: Variance and Cause</t>
        </is>
      </c>
      <c r="C174" s="16" t="inlineStr">
        <is>
          <t>Written questions to the regional office are six days late.</t>
        </is>
      </c>
      <c r="D174" s="16" t="inlineStr">
        <is>
          <t>Where actual differs from plan and why.</t>
        </is>
      </c>
    </row>
    <row r="175" ht="30" customHeight="1">
      <c r="B175" s="16" t="inlineStr">
        <is>
          <t>Quarterly Review: Adjustment Made</t>
        </is>
      </c>
      <c r="C175" s="16" t="inlineStr">
        <is>
          <t>Moved delegation request to May 14.</t>
        </is>
      </c>
      <c r="D175" s="16" t="inlineStr">
        <is>
          <t>What changed in the plan as a result. Record it in the plan as well.</t>
        </is>
      </c>
    </row>
    <row r="176" ht="30" customHeight="1">
      <c r="B176" s="16" t="inlineStr">
        <is>
          <t>Quarterly Review: Leadership Decision Needed</t>
        </is>
      </c>
      <c r="C176" s="16" t="inlineStr">
        <is>
          <t>Direction on match fallback by Apr 16.</t>
        </is>
      </c>
      <c r="D176" s="16" t="inlineStr">
        <is>
          <t>A decision with a date, or None.</t>
        </is>
      </c>
    </row>
    <row r="177" ht="30" customHeight="1">
      <c r="B177" s="16" t="inlineStr">
        <is>
          <t>Quarterly Review: Reviewed By</t>
        </is>
      </c>
      <c r="C177" s="16" t="inlineStr">
        <is>
          <t>Elena Marsh; Priya Raman</t>
        </is>
      </c>
      <c r="D177" s="16" t="inlineStr">
        <is>
          <t>Who attended.</t>
        </is>
      </c>
    </row>
  </sheetData>
  <pageMargins left="0.75" right="0.75" top="1" bottom="1" header="0.5" footer="0.5"/>
  <pageSetup orientation="landscape" fitToHeight="0" fitToWidth="1"/>
</worksheet>
</file>

<file path=xl/worksheets/sheet12.xml><?xml version="1.0" encoding="utf-8"?>
<worksheet xmlns="http://schemas.openxmlformats.org/spreadsheetml/2006/main">
  <sheetPr>
    <tabColor rgb="0052606D"/>
    <outlinePr summaryBelow="1" summaryRight="1"/>
    <pageSetUpPr fitToPage="1"/>
  </sheetPr>
  <dimension ref="A1:Z67"/>
  <sheetViews>
    <sheetView showGridLines="0" workbookViewId="0">
      <pane ySplit="5" topLeftCell="A6" activePane="bottomLeft" state="frozen"/>
      <selection pane="bottomLeft" activeCell="A1" sqref="A1"/>
    </sheetView>
  </sheetViews>
  <sheetFormatPr baseColWidth="8" defaultRowHeight="15"/>
  <cols>
    <col width="30" customWidth="1" min="1" max="1"/>
    <col width="15" customWidth="1" min="2" max="2"/>
    <col width="19" customWidth="1" min="3" max="3"/>
    <col width="19" customWidth="1" min="4" max="4"/>
    <col width="14" customWidth="1" min="5" max="5"/>
    <col width="14" customWidth="1" min="6" max="6"/>
    <col width="17" customWidth="1" min="7" max="7"/>
    <col width="21" customWidth="1" min="8" max="8"/>
    <col width="14" customWidth="1" min="9" max="9"/>
    <col width="23" customWidth="1" min="10" max="10"/>
    <col width="16" customWidth="1" min="11" max="11"/>
    <col width="25" customWidth="1" min="12" max="12"/>
    <col width="18" customWidth="1" min="13" max="13"/>
    <col width="24" customWidth="1" min="14" max="14"/>
    <col width="14" customWidth="1" min="15" max="15"/>
    <col width="14" customWidth="1" min="16" max="16"/>
    <col width="17" customWidth="1" min="17" max="17"/>
    <col width="14" customWidth="1" min="18" max="18"/>
    <col width="16" customWidth="1" min="19" max="19"/>
    <col width="20" customWidth="1" min="20" max="20"/>
    <col width="20" customWidth="1" min="21" max="21"/>
    <col width="14" customWidth="1" min="22" max="22"/>
    <col width="16" customWidth="1" min="23" max="23"/>
    <col width="14" customWidth="1" min="24" max="24"/>
    <col width="16" customWidth="1" min="25" max="25"/>
    <col width="24" customWidth="1" min="26" max="26"/>
  </cols>
  <sheetData>
    <row r="1">
      <c r="A1" s="46" t="inlineStr">
        <is>
          <t>Lists</t>
        </is>
      </c>
    </row>
    <row r="2">
      <c r="A2" s="18" t="inlineStr">
        <is>
          <t>Dropdown choices used across the workbook. Edit wording here to match your organization. Keep the order of the status rank list.</t>
        </is>
      </c>
    </row>
    <row r="3">
      <c r="A3" s="33" t="inlineStr">
        <is>
          <t>Do not delete or rename a column header. Change a list item only if no rows use the old value, or update those rows to match.</t>
        </is>
      </c>
    </row>
    <row r="5">
      <c r="A5" s="57" t="inlineStr">
        <is>
          <t>lstObjType</t>
        </is>
      </c>
      <c r="B5" s="57" t="inlineStr">
        <is>
          <t>lstObjStatus</t>
        </is>
      </c>
      <c r="C5" s="57" t="inlineStr">
        <is>
          <t>lstLevel</t>
        </is>
      </c>
      <c r="D5" s="57" t="inlineStr">
        <is>
          <t>lstTier</t>
        </is>
      </c>
      <c r="E5" s="57" t="inlineStr">
        <is>
          <t>lstPosture</t>
        </is>
      </c>
      <c r="F5" s="57" t="inlineStr">
        <is>
          <t>lstHealth</t>
        </is>
      </c>
      <c r="G5" s="57" t="inlineStr">
        <is>
          <t>lstTrack</t>
        </is>
      </c>
      <c r="H5" s="57" t="inlineStr">
        <is>
          <t>lstItemType</t>
        </is>
      </c>
      <c r="I5" s="57" t="inlineStr">
        <is>
          <t>lstPosition</t>
        </is>
      </c>
      <c r="J5" s="57" t="inlineStr">
        <is>
          <t>lstStage</t>
        </is>
      </c>
      <c r="K5" s="57" t="inlineStr">
        <is>
          <t>lstClearance</t>
        </is>
      </c>
      <c r="L5" s="57" t="inlineStr">
        <is>
          <t>lstActionType</t>
        </is>
      </c>
      <c r="M5" s="57" t="inlineStr">
        <is>
          <t>lstActionStatus</t>
        </is>
      </c>
      <c r="N5" s="57" t="inlineStr">
        <is>
          <t>lstMsType</t>
        </is>
      </c>
      <c r="O5" s="57" t="inlineStr">
        <is>
          <t>lstMsStatus</t>
        </is>
      </c>
      <c r="P5" s="57" t="inlineStr">
        <is>
          <t>lstYesNo</t>
        </is>
      </c>
      <c r="Q5" s="57" t="inlineStr">
        <is>
          <t>lstRiskCat</t>
        </is>
      </c>
      <c r="R5" s="57" t="inlineStr">
        <is>
          <t>lstLevel3</t>
        </is>
      </c>
      <c r="S5" s="57" t="inlineStr">
        <is>
          <t>lstRiskStatus</t>
        </is>
      </c>
      <c r="T5" s="57" t="inlineStr">
        <is>
          <t>lstEscLevel</t>
        </is>
      </c>
      <c r="U5" s="57" t="inlineStr">
        <is>
          <t>lstEscTo</t>
        </is>
      </c>
      <c r="V5" s="57" t="inlineStr">
        <is>
          <t>lstQuarter</t>
        </is>
      </c>
      <c r="W5" s="57" t="inlineStr">
        <is>
          <t>lstStatusRank</t>
        </is>
      </c>
      <c r="X5" s="3" t="inlineStr">
        <is>
          <t>lstCadence</t>
        </is>
      </c>
      <c r="Y5" s="3" t="inlineStr">
        <is>
          <t>lstCadenceDays</t>
        </is>
      </c>
      <c r="Z5" s="3" t="inlineStr">
        <is>
          <t>People</t>
        </is>
      </c>
    </row>
    <row r="6">
      <c r="A6" s="58" t="inlineStr">
        <is>
          <t>Legislative</t>
        </is>
      </c>
      <c r="B6" s="58" t="inlineStr">
        <is>
          <t>Not Started</t>
        </is>
      </c>
      <c r="C6" s="58" t="inlineStr">
        <is>
          <t>Federal</t>
        </is>
      </c>
      <c r="D6" s="58" t="inlineStr">
        <is>
          <t>Tier 1 Strategic</t>
        </is>
      </c>
      <c r="E6" s="58" t="inlineStr">
        <is>
          <t>Aligned</t>
        </is>
      </c>
      <c r="F6" s="58" t="inlineStr">
        <is>
          <t>Strong</t>
        </is>
      </c>
      <c r="G6" s="58" t="inlineStr">
        <is>
          <t>Legislative</t>
        </is>
      </c>
      <c r="H6" s="58" t="inlineStr">
        <is>
          <t>Bill</t>
        </is>
      </c>
      <c r="I6" s="58" t="inlineStr">
        <is>
          <t>Support</t>
        </is>
      </c>
      <c r="J6" s="58" t="inlineStr">
        <is>
          <t>Developing</t>
        </is>
      </c>
      <c r="K6" s="58" t="inlineStr">
        <is>
          <t>Not Submitted</t>
        </is>
      </c>
      <c r="L6" s="58" t="inlineStr">
        <is>
          <t>Meeting</t>
        </is>
      </c>
      <c r="M6" s="58" t="inlineStr">
        <is>
          <t>Planned</t>
        </is>
      </c>
      <c r="N6" s="58" t="inlineStr">
        <is>
          <t>Fixed External Date</t>
        </is>
      </c>
      <c r="O6" s="58" t="inlineStr">
        <is>
          <t>Not Started</t>
        </is>
      </c>
      <c r="P6" s="58" t="inlineStr">
        <is>
          <t>Yes</t>
        </is>
      </c>
      <c r="Q6" s="58" t="inlineStr">
        <is>
          <t>Legislative</t>
        </is>
      </c>
      <c r="R6" s="58" t="inlineStr">
        <is>
          <t>Low</t>
        </is>
      </c>
      <c r="S6" s="58" t="inlineStr">
        <is>
          <t>Open</t>
        </is>
      </c>
      <c r="T6" s="58" t="inlineStr">
        <is>
          <t>None</t>
        </is>
      </c>
      <c r="U6" s="58" t="inlineStr">
        <is>
          <t>Office Director</t>
        </is>
      </c>
      <c r="V6" s="58" t="inlineStr">
        <is>
          <t>Q1</t>
        </is>
      </c>
      <c r="W6" s="58" t="inlineStr">
        <is>
          <t>Off Track</t>
        </is>
      </c>
      <c r="X6" s="58" t="inlineStr">
        <is>
          <t>Weekly</t>
        </is>
      </c>
      <c r="Y6" s="44" t="n">
        <v>7</v>
      </c>
      <c r="Z6" s="58" t="inlineStr">
        <is>
          <t>Elena Marsh</t>
        </is>
      </c>
    </row>
    <row r="7">
      <c r="A7" s="58" t="inlineStr">
        <is>
          <t>Administrative</t>
        </is>
      </c>
      <c r="B7" s="58" t="inlineStr">
        <is>
          <t>On Track</t>
        </is>
      </c>
      <c r="C7" s="58" t="inlineStr">
        <is>
          <t>State</t>
        </is>
      </c>
      <c r="D7" s="58" t="inlineStr">
        <is>
          <t>Tier 2 Priority</t>
        </is>
      </c>
      <c r="E7" s="58" t="inlineStr">
        <is>
          <t>Mixed</t>
        </is>
      </c>
      <c r="F7" s="58" t="inlineStr">
        <is>
          <t>Working</t>
        </is>
      </c>
      <c r="G7" s="58" t="inlineStr">
        <is>
          <t>Administrative</t>
        </is>
      </c>
      <c r="H7" s="58" t="inlineStr">
        <is>
          <t>Budget Item</t>
        </is>
      </c>
      <c r="I7" s="58" t="inlineStr">
        <is>
          <t>Oppose</t>
        </is>
      </c>
      <c r="J7" s="58" t="inlineStr">
        <is>
          <t>Pending Action</t>
        </is>
      </c>
      <c r="K7" s="58" t="inlineStr">
        <is>
          <t>In Review</t>
        </is>
      </c>
      <c r="L7" s="58" t="inlineStr">
        <is>
          <t>Briefing</t>
        </is>
      </c>
      <c r="M7" s="58" t="inlineStr">
        <is>
          <t>In Progress</t>
        </is>
      </c>
      <c r="N7" s="58" t="inlineStr">
        <is>
          <t>Assumed External Date</t>
        </is>
      </c>
      <c r="O7" s="58" t="inlineStr">
        <is>
          <t>In Progress</t>
        </is>
      </c>
      <c r="P7" s="58" t="inlineStr">
        <is>
          <t>No</t>
        </is>
      </c>
      <c r="Q7" s="58" t="inlineStr">
        <is>
          <t>Administrative</t>
        </is>
      </c>
      <c r="R7" s="58" t="inlineStr">
        <is>
          <t>Moderate</t>
        </is>
      </c>
      <c r="S7" s="58" t="inlineStr">
        <is>
          <t>Mitigating</t>
        </is>
      </c>
      <c r="T7" s="58" t="inlineStr">
        <is>
          <t>Office Director</t>
        </is>
      </c>
      <c r="U7" s="58" t="inlineStr">
        <is>
          <t>Executive Sponsor</t>
        </is>
      </c>
      <c r="V7" s="58" t="inlineStr">
        <is>
          <t>Q2</t>
        </is>
      </c>
      <c r="W7" s="58" t="inlineStr">
        <is>
          <t>At Risk</t>
        </is>
      </c>
      <c r="X7" s="58" t="inlineStr">
        <is>
          <t>Biweekly</t>
        </is>
      </c>
      <c r="Y7" s="44" t="n">
        <v>14</v>
      </c>
      <c r="Z7" s="58" t="inlineStr">
        <is>
          <t>Jordan Pike</t>
        </is>
      </c>
    </row>
    <row r="8">
      <c r="A8" s="58" t="inlineStr">
        <is>
          <t>Relationship</t>
        </is>
      </c>
      <c r="B8" s="58" t="inlineStr">
        <is>
          <t>At Risk</t>
        </is>
      </c>
      <c r="C8" s="58" t="inlineStr">
        <is>
          <t>Tribal</t>
        </is>
      </c>
      <c r="D8" s="58" t="inlineStr">
        <is>
          <t>Tier 3 Maintain</t>
        </is>
      </c>
      <c r="E8" s="58" t="inlineStr">
        <is>
          <t>Divergent</t>
        </is>
      </c>
      <c r="F8" s="58" t="inlineStr">
        <is>
          <t>Strained</t>
        </is>
      </c>
      <c r="H8" s="58" t="inlineStr">
        <is>
          <t>Rulemaking</t>
        </is>
      </c>
      <c r="I8" s="58" t="inlineStr">
        <is>
          <t>Amend</t>
        </is>
      </c>
      <c r="J8" s="58" t="inlineStr">
        <is>
          <t>Active Consideration</t>
        </is>
      </c>
      <c r="K8" s="58" t="inlineStr">
        <is>
          <t>Cleared</t>
        </is>
      </c>
      <c r="L8" s="58" t="inlineStr">
        <is>
          <t>Testimony or Comment</t>
        </is>
      </c>
      <c r="M8" s="58" t="inlineStr">
        <is>
          <t>Complete</t>
        </is>
      </c>
      <c r="N8" s="58" t="inlineStr">
        <is>
          <t>Internal Target</t>
        </is>
      </c>
      <c r="O8" s="58" t="inlineStr">
        <is>
          <t>Complete</t>
        </is>
      </c>
      <c r="Q8" s="58" t="inlineStr">
        <is>
          <t>Relationship</t>
        </is>
      </c>
      <c r="R8" s="58" t="inlineStr">
        <is>
          <t>High</t>
        </is>
      </c>
      <c r="S8" s="58" t="inlineStr">
        <is>
          <t>Escalated</t>
        </is>
      </c>
      <c r="T8" s="58" t="inlineStr">
        <is>
          <t>Executive Sponsor</t>
        </is>
      </c>
      <c r="U8" s="58" t="inlineStr">
        <is>
          <t>Chief Executive</t>
        </is>
      </c>
      <c r="V8" s="58" t="inlineStr">
        <is>
          <t>Q3</t>
        </is>
      </c>
      <c r="W8" s="58" t="inlineStr">
        <is>
          <t>On Track</t>
        </is>
      </c>
      <c r="X8" s="58" t="inlineStr">
        <is>
          <t>Monthly</t>
        </is>
      </c>
      <c r="Y8" s="44" t="n">
        <v>30</v>
      </c>
      <c r="Z8" s="58" t="inlineStr">
        <is>
          <t>Samuel Ortega</t>
        </is>
      </c>
    </row>
    <row r="9">
      <c r="A9" s="58" t="inlineStr">
        <is>
          <t>Intergovernmental Agreement</t>
        </is>
      </c>
      <c r="B9" s="58" t="inlineStr">
        <is>
          <t>Off Track</t>
        </is>
      </c>
      <c r="C9" s="58" t="inlineStr">
        <is>
          <t>Regional</t>
        </is>
      </c>
      <c r="D9" s="58" t="inlineStr">
        <is>
          <t>Tier 4 Monitor</t>
        </is>
      </c>
      <c r="E9" s="58" t="inlineStr">
        <is>
          <t>Unknown</t>
        </is>
      </c>
      <c r="F9" s="58" t="inlineStr">
        <is>
          <t>New</t>
        </is>
      </c>
      <c r="H9" s="58" t="inlineStr">
        <is>
          <t>Grant or Funding</t>
        </is>
      </c>
      <c r="I9" s="58" t="inlineStr">
        <is>
          <t>Seek</t>
        </is>
      </c>
      <c r="J9" s="58" t="inlineStr">
        <is>
          <t>Final Action Pending</t>
        </is>
      </c>
      <c r="K9" s="58" t="inlineStr">
        <is>
          <t>On Hold</t>
        </is>
      </c>
      <c r="L9" s="58" t="inlineStr">
        <is>
          <t>Written Submission</t>
        </is>
      </c>
      <c r="M9" s="58" t="inlineStr">
        <is>
          <t>Deferred</t>
        </is>
      </c>
      <c r="N9" s="58" t="inlineStr">
        <is>
          <t>Decision Point</t>
        </is>
      </c>
      <c r="O9" s="58" t="inlineStr">
        <is>
          <t>Delayed</t>
        </is>
      </c>
      <c r="Q9" s="58" t="inlineStr">
        <is>
          <t>Fiscal</t>
        </is>
      </c>
      <c r="S9" s="58" t="inlineStr">
        <is>
          <t>Realized</t>
        </is>
      </c>
      <c r="T9" s="58" t="inlineStr">
        <is>
          <t>Chief Executive</t>
        </is>
      </c>
      <c r="U9" s="58" t="inlineStr">
        <is>
          <t>Governing Board</t>
        </is>
      </c>
      <c r="V9" s="58" t="inlineStr">
        <is>
          <t>Q4</t>
        </is>
      </c>
      <c r="W9" s="58" t="inlineStr">
        <is>
          <t>Complete</t>
        </is>
      </c>
      <c r="X9" s="58" t="inlineStr">
        <is>
          <t>Quarterly</t>
        </is>
      </c>
      <c r="Y9" s="44" t="n">
        <v>90</v>
      </c>
      <c r="Z9" s="58" t="inlineStr">
        <is>
          <t>Alicia Brandt</t>
        </is>
      </c>
    </row>
    <row r="10">
      <c r="A10" s="58" t="inlineStr">
        <is>
          <t>Internal Process</t>
        </is>
      </c>
      <c r="B10" s="58" t="inlineStr">
        <is>
          <t>Complete</t>
        </is>
      </c>
      <c r="C10" s="58" t="inlineStr">
        <is>
          <t>County</t>
        </is>
      </c>
      <c r="F10" s="58" t="inlineStr">
        <is>
          <t>Dormant</t>
        </is>
      </c>
      <c r="H10" s="58" t="inlineStr">
        <is>
          <t>Permit or Approval</t>
        </is>
      </c>
      <c r="I10" s="58" t="inlineStr">
        <is>
          <t>Monitor</t>
        </is>
      </c>
      <c r="J10" s="58" t="inlineStr">
        <is>
          <t>Resolved Favorable</t>
        </is>
      </c>
      <c r="L10" s="58" t="inlineStr">
        <is>
          <t>Call or Correspondence</t>
        </is>
      </c>
      <c r="M10" s="58" t="inlineStr">
        <is>
          <t>Cancelled</t>
        </is>
      </c>
      <c r="O10" s="58" t="inlineStr">
        <is>
          <t>Blocked</t>
        </is>
      </c>
      <c r="Q10" s="58" t="inlineStr">
        <is>
          <t>Legal</t>
        </is>
      </c>
      <c r="S10" s="58" t="inlineStr">
        <is>
          <t>Closed</t>
        </is>
      </c>
      <c r="T10" s="58" t="inlineStr">
        <is>
          <t>Governing Board</t>
        </is>
      </c>
      <c r="X10" s="58" t="inlineStr">
        <is>
          <t>Semiannual</t>
        </is>
      </c>
      <c r="Y10" s="44" t="n">
        <v>180</v>
      </c>
      <c r="Z10" s="58" t="inlineStr">
        <is>
          <t>Gerald Whitcomb</t>
        </is>
      </c>
    </row>
    <row r="11">
      <c r="B11" s="58" t="inlineStr">
        <is>
          <t>Deferred</t>
        </is>
      </c>
      <c r="C11" s="58" t="inlineStr">
        <is>
          <t>Municipal</t>
        </is>
      </c>
      <c r="H11" s="58" t="inlineStr">
        <is>
          <t>Agreement</t>
        </is>
      </c>
      <c r="I11" s="58" t="inlineStr">
        <is>
          <t>Undecided</t>
        </is>
      </c>
      <c r="J11" s="58" t="inlineStr">
        <is>
          <t>Resolved Unfavorable</t>
        </is>
      </c>
      <c r="L11" s="58" t="inlineStr">
        <is>
          <t>Coalition Work</t>
        </is>
      </c>
      <c r="Q11" s="58" t="inlineStr">
        <is>
          <t>Capacity</t>
        </is>
      </c>
      <c r="X11" s="58" t="inlineStr">
        <is>
          <t>As Needed</t>
        </is>
      </c>
      <c r="Y11" s="44" t="n"/>
      <c r="Z11" s="58" t="inlineStr">
        <is>
          <t>Lena Park</t>
        </is>
      </c>
    </row>
    <row r="12">
      <c r="C12" s="58" t="inlineStr">
        <is>
          <t>Special District</t>
        </is>
      </c>
      <c r="H12" s="58" t="inlineStr">
        <is>
          <t>Policy Guidance</t>
        </is>
      </c>
      <c r="J12" s="58" t="inlineStr">
        <is>
          <t>Inactive</t>
        </is>
      </c>
      <c r="L12" s="58" t="inlineStr">
        <is>
          <t>Site Visit</t>
        </is>
      </c>
      <c r="Q12" s="58" t="inlineStr">
        <is>
          <t>Reputational</t>
        </is>
      </c>
      <c r="Z12" s="58" t="inlineStr">
        <is>
          <t>Owen Reyes</t>
        </is>
      </c>
    </row>
    <row r="13">
      <c r="C13" s="58" t="inlineStr">
        <is>
          <t>Other</t>
        </is>
      </c>
      <c r="H13" s="58" t="inlineStr">
        <is>
          <t>Other</t>
        </is>
      </c>
      <c r="L13" s="58" t="inlineStr">
        <is>
          <t>Internal Clearance</t>
        </is>
      </c>
      <c r="Q13" s="58" t="inlineStr">
        <is>
          <t>Schedule</t>
        </is>
      </c>
      <c r="X13" s="59" t="inlineStr">
        <is>
          <t>Days between expected contacts. As Needed has no day count.</t>
        </is>
      </c>
      <c r="Z13" s="58" t="inlineStr">
        <is>
          <t>Priya Raman</t>
        </is>
      </c>
    </row>
    <row r="14">
      <c r="L14" s="58" t="inlineStr">
        <is>
          <t>Agreement Work</t>
        </is>
      </c>
      <c r="Z14" s="58" t="n"/>
    </row>
    <row r="15">
      <c r="L15" s="58" t="inlineStr">
        <is>
          <t>Other</t>
        </is>
      </c>
      <c r="Z15" s="58" t="n"/>
    </row>
    <row r="16">
      <c r="Z16" s="58" t="n"/>
    </row>
    <row r="17">
      <c r="Z17" s="58" t="n"/>
    </row>
    <row r="18">
      <c r="Z18" s="58" t="n"/>
    </row>
    <row r="19">
      <c r="Z19" s="58" t="n"/>
    </row>
    <row r="20">
      <c r="Z20" s="58" t="n"/>
    </row>
    <row r="21">
      <c r="Z21" s="58" t="n"/>
    </row>
    <row r="22">
      <c r="Z22" s="58" t="n"/>
    </row>
    <row r="23">
      <c r="Z23" s="58" t="n"/>
    </row>
    <row r="24">
      <c r="Z24" s="58" t="n"/>
    </row>
    <row r="25">
      <c r="Z25" s="58" t="n"/>
    </row>
    <row r="26">
      <c r="Z26" s="58" t="n"/>
    </row>
    <row r="27">
      <c r="Z27" s="58" t="n"/>
    </row>
    <row r="28">
      <c r="Z28" s="58" t="n"/>
    </row>
    <row r="29">
      <c r="Z29" s="58" t="n"/>
    </row>
    <row r="30">
      <c r="Z30" s="58" t="n"/>
    </row>
    <row r="31">
      <c r="Z31" s="58" t="n"/>
    </row>
    <row r="32">
      <c r="Z32" s="58" t="n"/>
    </row>
    <row r="33">
      <c r="Z33" s="58" t="n"/>
    </row>
    <row r="34">
      <c r="Z34" s="58" t="n"/>
    </row>
    <row r="35">
      <c r="Z35" s="58" t="n"/>
    </row>
    <row r="36">
      <c r="Z36" s="58" t="n"/>
    </row>
    <row r="37">
      <c r="Z37" s="58" t="n"/>
    </row>
    <row r="38">
      <c r="Z38" s="58" t="n"/>
    </row>
    <row r="39">
      <c r="Z39" s="58" t="n"/>
    </row>
    <row r="40">
      <c r="Z40" s="58" t="n"/>
    </row>
    <row r="41">
      <c r="Z41" s="58" t="n"/>
    </row>
    <row r="42">
      <c r="Z42" s="58" t="n"/>
    </row>
    <row r="43">
      <c r="Z43" s="58" t="n"/>
    </row>
    <row r="44">
      <c r="Z44" s="58" t="n"/>
    </row>
    <row r="45">
      <c r="Z45" s="58" t="n"/>
    </row>
    <row r="46">
      <c r="Z46" s="58" t="n"/>
    </row>
    <row r="47">
      <c r="Z47" s="58" t="n"/>
    </row>
    <row r="48">
      <c r="Z48" s="58" t="n"/>
    </row>
    <row r="49">
      <c r="Z49" s="58" t="n"/>
    </row>
    <row r="50">
      <c r="Z50" s="58" t="n"/>
    </row>
    <row r="51">
      <c r="Z51" s="58" t="n"/>
    </row>
    <row r="52">
      <c r="Z52" s="58" t="n"/>
    </row>
    <row r="53">
      <c r="Z53" s="58" t="n"/>
    </row>
    <row r="54">
      <c r="Z54" s="58" t="n"/>
    </row>
    <row r="55">
      <c r="Z55" s="58" t="n"/>
    </row>
    <row r="56">
      <c r="Z56" s="58" t="n"/>
    </row>
    <row r="57">
      <c r="Z57" s="58" t="n"/>
    </row>
    <row r="58">
      <c r="Z58" s="58" t="n"/>
    </row>
    <row r="59">
      <c r="Z59" s="58" t="n"/>
    </row>
    <row r="60">
      <c r="Z60" s="58" t="n"/>
    </row>
    <row r="61">
      <c r="Z61" s="58" t="n"/>
    </row>
    <row r="62">
      <c r="Z62" s="58" t="n"/>
    </row>
    <row r="63">
      <c r="Z63" s="58" t="n"/>
    </row>
    <row r="64">
      <c r="Z64" s="58" t="n"/>
    </row>
    <row r="65">
      <c r="Z65" s="58" t="n"/>
    </row>
    <row r="67">
      <c r="Z67" s="59" t="inlineStr">
        <is>
          <t>Add names under People. They feed the Lead and Owner dropdowns.</t>
        </is>
      </c>
    </row>
  </sheetData>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Intergov Association</dc:creator>
  <dc:title xmlns:dc="http://purl.org/dc/elements/1.1/">Intergov Annual Strategic Plan Tracker (Completed Example)</dc:title>
  <dcterms:created xmlns:dcterms="http://purl.org/dc/terms/" xmlns:xsi="http://www.w3.org/2001/XMLSchema-instance" xsi:type="dcterms:W3CDTF">2026-10-26T19:43:29Z</dcterms:created>
  <dcterms:modified xmlns:dcterms="http://purl.org/dc/terms/" xmlns:xsi="http://www.w3.org/2001/XMLSchema-instance" xsi:type="dcterms:W3CDTF">2026-10-26T19:43:30Z</dcterms:modified>
</cp:coreProperties>
</file>