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tables/table5.xml" ContentType="application/vnd.openxmlformats-officedocument.spreadsheetml.table+xml"/>
  <Override PartName="/xl/worksheets/sheet8.xml" ContentType="application/vnd.openxmlformats-officedocument.spreadsheetml.worksheet+xml"/>
  <Override PartName="/xl/tables/table6.xml" ContentType="application/vnd.openxmlformats-officedocument.spreadsheetml.table+xml"/>
  <Override PartName="/xl/worksheets/sheet9.xml" ContentType="application/vnd.openxmlformats-officedocument.spreadsheetml.worksheet+xml"/>
  <Override PartName="/xl/tables/table7.xml" ContentType="application/vnd.openxmlformats-officedocument.spreadsheetml.table+xml"/>
  <Override PartName="/xl/worksheets/sheet10.xml" ContentType="application/vnd.openxmlformats-officedocument.spreadsheetml.worksheet+xml"/>
  <Override PartName="/xl/tables/table8.xml" ContentType="application/vnd.openxmlformats-officedocument.spreadsheetml.table+xml"/>
  <Override PartName="/xl/worksheets/sheet11.xml" ContentType="application/vnd.openxmlformats-officedocument.spreadsheetml.worksheet+xml"/>
  <Override PartName="/xl/worksheets/sheet12.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Dashboard" sheetId="2" state="visible" r:id="rId2"/>
    <sheet xmlns:r="http://schemas.openxmlformats.org/officeDocument/2006/relationships" name="Objectives" sheetId="3" state="visible" r:id="rId3"/>
    <sheet xmlns:r="http://schemas.openxmlformats.org/officeDocument/2006/relationships" name="Relationships" sheetId="4" state="visible" r:id="rId4"/>
    <sheet xmlns:r="http://schemas.openxmlformats.org/officeDocument/2006/relationships" name="Priorities" sheetId="5" state="visible" r:id="rId5"/>
    <sheet xmlns:r="http://schemas.openxmlformats.org/officeDocument/2006/relationships" name="Actions" sheetId="6" state="visible" r:id="rId6"/>
    <sheet xmlns:r="http://schemas.openxmlformats.org/officeDocument/2006/relationships" name="Milestones" sheetId="7" state="visible" r:id="rId7"/>
    <sheet xmlns:r="http://schemas.openxmlformats.org/officeDocument/2006/relationships" name="Risks" sheetId="8" state="visible" r:id="rId8"/>
    <sheet xmlns:r="http://schemas.openxmlformats.org/officeDocument/2006/relationships" name="Escalations" sheetId="9" state="visible" r:id="rId9"/>
    <sheet xmlns:r="http://schemas.openxmlformats.org/officeDocument/2006/relationships" name="Quarterly Review" sheetId="10" state="visible" r:id="rId10"/>
    <sheet xmlns:r="http://schemas.openxmlformats.org/officeDocument/2006/relationships" name="Definitions" sheetId="11" state="visible" r:id="rId11"/>
    <sheet xmlns:r="http://schemas.openxmlformats.org/officeDocument/2006/relationships" name="Lists" sheetId="12" state="visible" r:id="rId12"/>
  </sheets>
  <definedNames>
    <definedName name="lstObjType">Lists!$A$6:$A$10</definedName>
    <definedName name="lstObjStatus">Lists!$B$6:$B$11</definedName>
    <definedName name="lstLevel">Lists!$C$6:$C$13</definedName>
    <definedName name="lstTier">Lists!$D$6:$D$9</definedName>
    <definedName name="lstPosture">Lists!$E$6:$E$9</definedName>
    <definedName name="lstHealth">Lists!$F$6:$F$10</definedName>
    <definedName name="lstTrack">Lists!$G$6:$G$7</definedName>
    <definedName name="lstItemType">Lists!$H$6:$H$13</definedName>
    <definedName name="lstPosition">Lists!$I$6:$I$11</definedName>
    <definedName name="lstStage">Lists!$J$6:$J$12</definedName>
    <definedName name="lstClearance">Lists!$K$6:$K$9</definedName>
    <definedName name="lstActionType">Lists!$L$6:$L$15</definedName>
    <definedName name="lstActionStatus">Lists!$M$6:$M$10</definedName>
    <definedName name="lstMsType">Lists!$N$6:$N$9</definedName>
    <definedName name="lstMsStatus">Lists!$O$6:$O$10</definedName>
    <definedName name="lstYesNo">Lists!$P$6:$P$7</definedName>
    <definedName name="lstRiskCat">Lists!$Q$6:$Q$13</definedName>
    <definedName name="lstLevel3">Lists!$R$6:$R$8</definedName>
    <definedName name="lstRiskStatus">Lists!$S$6:$S$10</definedName>
    <definedName name="lstEscLevel">Lists!$T$6:$T$10</definedName>
    <definedName name="lstEscTo">Lists!$U$6:$U$9</definedName>
    <definedName name="lstQuarter">Lists!$V$6:$V$9</definedName>
    <definedName name="lstStatusRank">Lists!$W$6:$W$9</definedName>
    <definedName name="lstCadence">Lists!$X$6:$X$11</definedName>
    <definedName name="lstCadenceDays">Lists!$Y$6:$Y$11</definedName>
    <definedName name="lstPeople">OFFSET(Lists!$Z$5,1,0,MAX(1,COUNTA(Lists!$Z$6:$Z$65)),1)</definedName>
    <definedName name="OrgName">Instructions!$C$5</definedName>
    <definedName name="OfficeName">Instructions!$C$6</definedName>
    <definedName name="PlanYear">Instructions!$C$7</definedName>
    <definedName name="StartMonth">Instructions!$C$8</definedName>
    <definedName name="AsOfInput">Instructions!$C$9</definedName>
    <definedName name="ReviewDays">Instructions!$C$10</definedName>
    <definedName name="AsOf">Instructions!$C$11</definedName>
    <definedName name="rngObjIDs">OFFSET('Objectives'!$A$5,1,0,MAX(1,SUMPRODUCT(MAX(('Objectives'!$A$6:$A$20&lt;&gt;"")*(ROW('Objectives'!$A$6:$A$20)-5)))),1)</definedName>
    <definedName name="rngRelIDs">OFFSET('Relationships'!$A$5,1,0,MAX(1,SUMPRODUCT(MAX(('Relationships'!$A$6:$A$45&lt;&gt;"")*(ROW('Relationships'!$A$6:$A$45)-5)))),1)</definedName>
    <definedName name="rngPriIDs">OFFSET('Priorities'!$A$5,1,0,MAX(1,SUMPRODUCT(MAX(('Priorities'!$A$6:$A$35&lt;&gt;"")*(ROW('Priorities'!$A$6:$A$35)-5)))),1)</definedName>
    <definedName name="rngMsIDs">OFFSET('Milestones'!$A$5,1,0,MAX(1,SUMPRODUCT(MAX(('Milestones'!$A$6:$A$85&lt;&gt;"")*(ROW('Milestones'!$A$6:$A$85)-5)))),1)</definedName>
    <definedName name="rngRiskIDs">OFFSET('Risks'!$A$5,1,0,MAX(1,SUMPRODUCT(MAX(('Risks'!$A$6:$A$35&lt;&gt;"")*(ROW('Risks'!$A$6:$A$35)-5)))),1)</definedName>
    <definedName name="_xlnm.Print_Area" localSheetId="1">'Dashboard'!$A$1:$N$110</definedName>
    <definedName name="_xlnm.Print_Titles" localSheetId="2">'Objectives'!$5:$5</definedName>
    <definedName name="_xlnm.Print_Titles" localSheetId="3">'Relationships'!$5:$5</definedName>
    <definedName name="_xlnm.Print_Titles" localSheetId="4">'Priorities'!$5:$5</definedName>
    <definedName name="_xlnm.Print_Titles" localSheetId="5">'Actions'!$5:$5</definedName>
    <definedName name="_xlnm.Print_Titles" localSheetId="6">'Milestones'!$5:$5</definedName>
    <definedName name="_xlnm.Print_Titles" localSheetId="7">'Risks'!$5:$5</definedName>
    <definedName name="_xlnm.Print_Titles" localSheetId="8">'Escalations'!$5:$5</definedName>
    <definedName name="_xlnm.Print_Titles" localSheetId="9">'Quarterly Review'!$5:$5</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18">
    <font>
      <name val="Calibri"/>
      <family val="2"/>
      <color theme="1"/>
      <sz val="11"/>
      <scheme val="minor"/>
    </font>
    <font>
      <name val="Arial"/>
      <color rgb="00192E43"/>
      <sz val="10"/>
    </font>
    <font>
      <name val="Arial"/>
      <b val="1"/>
      <color rgb="00192E43"/>
      <sz val="16"/>
    </font>
    <font>
      <name val="Arial"/>
      <color rgb="0052606D"/>
      <sz val="10"/>
    </font>
    <font>
      <name val="Arial"/>
      <i val="1"/>
      <color rgb="0052606D"/>
      <sz val="9"/>
    </font>
    <font>
      <name val="Arial"/>
      <b val="1"/>
      <color rgb="00FFFFFF"/>
      <sz val="10"/>
    </font>
    <font>
      <name val="Arial"/>
      <i val="1"/>
      <color rgb="0052606D"/>
      <sz val="8"/>
    </font>
    <font>
      <name val="Arial"/>
      <b val="1"/>
      <color rgb="00192E43"/>
      <sz val="18"/>
    </font>
    <font>
      <name val="Arial"/>
      <b val="1"/>
      <color rgb="00192E43"/>
      <sz val="10"/>
    </font>
    <font>
      <name val="Arial"/>
      <color rgb="000000FF"/>
      <sz val="10"/>
    </font>
    <font>
      <name val="Arial"/>
      <color rgb="0052606D"/>
      <sz val="9"/>
    </font>
    <font>
      <name val="Arial"/>
      <b val="1"/>
      <color rgb="00A93632"/>
      <sz val="10"/>
    </font>
    <font>
      <name val="Arial"/>
      <b val="1"/>
      <color rgb="0052606D"/>
      <sz val="9"/>
    </font>
    <font>
      <name val="Arial"/>
      <color rgb="00A93632"/>
      <sz val="10"/>
    </font>
    <font>
      <name val="Arial"/>
      <b val="1"/>
      <color rgb="0052606D"/>
      <sz val="8"/>
    </font>
    <font>
      <name val="Arial"/>
      <b val="1"/>
      <color rgb="00192E43"/>
      <sz val="26"/>
    </font>
    <font>
      <name val="Arial"/>
      <i val="1"/>
      <color rgb="00A93632"/>
      <sz val="9"/>
    </font>
    <font>
      <name val="Arial"/>
      <color rgb="00192E43"/>
      <sz val="9"/>
    </font>
  </fonts>
  <fills count="6">
    <fill>
      <patternFill/>
    </fill>
    <fill>
      <patternFill patternType="gray125"/>
    </fill>
    <fill>
      <patternFill patternType="solid">
        <fgColor rgb="00192E43"/>
        <bgColor rgb="00192E43"/>
      </patternFill>
    </fill>
    <fill>
      <patternFill patternType="solid">
        <fgColor rgb="0052606D"/>
        <bgColor rgb="0052606D"/>
      </patternFill>
    </fill>
    <fill>
      <patternFill patternType="solid">
        <fgColor rgb="00F2F4F6"/>
        <bgColor rgb="00F2F4F6"/>
      </patternFill>
    </fill>
    <fill>
      <patternFill patternType="solid">
        <fgColor rgb="00FFF9DB"/>
        <bgColor rgb="00FFF9DB"/>
      </patternFill>
    </fill>
  </fills>
  <borders count="8">
    <border>
      <left/>
      <right/>
      <top/>
      <bottom/>
      <diagonal/>
    </border>
    <border>
      <bottom style="hair">
        <color rgb="00D5DAE0"/>
      </bottom>
    </border>
    <border>
      <left style="thin">
        <color rgb="00D5DAE0"/>
      </left>
      <right style="thin">
        <color rgb="00D5DAE0"/>
      </right>
      <top style="thin">
        <color rgb="00D5DAE0"/>
      </top>
      <bottom style="thin">
        <color rgb="00D5DAE0"/>
      </bottom>
    </border>
    <border>
      <bottom style="thin">
        <color rgb="00D5DAE0"/>
      </bottom>
    </border>
    <border>
      <top style="medium">
        <color rgb="00192E43"/>
      </top>
    </border>
    <border>
      <left/>
      <right/>
      <top style="medium">
        <color rgb="00192E43"/>
      </top>
      <bottom/>
      <diagonal/>
    </border>
    <border>
      <left/>
      <right/>
      <top/>
      <bottom style="thin">
        <color rgb="00D5DAE0"/>
      </bottom>
      <diagonal/>
    </border>
    <border>
      <top style="thin">
        <color rgb="00D5DAE0"/>
      </top>
    </border>
  </borders>
  <cellStyleXfs count="1">
    <xf numFmtId="0" fontId="1" fillId="0" borderId="0"/>
  </cellStyleXfs>
  <cellXfs count="64">
    <xf numFmtId="0" fontId="0" fillId="0" borderId="0" pivotButton="0" quotePrefix="0" xfId="0"/>
    <xf numFmtId="0" fontId="7" fillId="0" borderId="0" pivotButton="0" quotePrefix="0" xfId="0"/>
    <xf numFmtId="0" fontId="3" fillId="0" borderId="0" pivotButton="0" quotePrefix="0" xfId="0"/>
    <xf numFmtId="0" fontId="5" fillId="2" borderId="0" pivotButton="0" quotePrefix="0" xfId="0"/>
    <xf numFmtId="0" fontId="0" fillId="2" borderId="0" pivotButton="0" quotePrefix="0" xfId="0"/>
    <xf numFmtId="0" fontId="8" fillId="0" borderId="0" pivotButton="0" quotePrefix="0" xfId="0"/>
    <xf numFmtId="0" fontId="9" fillId="5" borderId="2" applyAlignment="1" pivotButton="0" quotePrefix="0" xfId="0">
      <alignment horizontal="left"/>
    </xf>
    <xf numFmtId="0" fontId="10" fillId="0" borderId="0" applyAlignment="1" pivotButton="0" quotePrefix="0" xfId="0">
      <alignment vertical="top" wrapText="1"/>
    </xf>
    <xf numFmtId="1" fontId="9" fillId="5" borderId="2" applyAlignment="1" pivotButton="0" quotePrefix="0" xfId="0">
      <alignment horizontal="left"/>
    </xf>
    <xf numFmtId="165" fontId="9" fillId="5" borderId="2" applyAlignment="1" pivotButton="0" quotePrefix="0" xfId="0">
      <alignment horizontal="left"/>
    </xf>
    <xf numFmtId="165" fontId="1" fillId="4" borderId="0" applyAlignment="1" pivotButton="0" quotePrefix="0" xfId="0">
      <alignment horizontal="left"/>
    </xf>
    <xf numFmtId="0" fontId="10" fillId="0" borderId="0" pivotButton="0" quotePrefix="0" xfId="0"/>
    <xf numFmtId="0" fontId="11" fillId="0" borderId="0" applyAlignment="1" pivotButton="0" quotePrefix="0" xfId="0">
      <alignment vertical="top"/>
    </xf>
    <xf numFmtId="0" fontId="1" fillId="0" borderId="0" applyAlignment="1" pivotButton="0" quotePrefix="0" xfId="0">
      <alignment vertical="top" wrapText="1"/>
    </xf>
    <xf numFmtId="0" fontId="12" fillId="0" borderId="3" pivotButton="0" quotePrefix="0" xfId="0"/>
    <xf numFmtId="0" fontId="8" fillId="0" borderId="1" applyAlignment="1" pivotButton="0" quotePrefix="0" xfId="0">
      <alignment vertical="top" wrapText="1"/>
    </xf>
    <xf numFmtId="0" fontId="1" fillId="0" borderId="1" applyAlignment="1" pivotButton="0" quotePrefix="0" xfId="0">
      <alignment vertical="top" wrapText="1"/>
    </xf>
    <xf numFmtId="0" fontId="13" fillId="0" borderId="0" applyAlignment="1" pivotButton="0" quotePrefix="0" xfId="0">
      <alignment horizontal="right" vertical="top"/>
    </xf>
    <xf numFmtId="0" fontId="4" fillId="0" borderId="0" pivotButton="0" quotePrefix="0" xfId="0"/>
    <xf numFmtId="0" fontId="14" fillId="4" borderId="4" applyAlignment="1" pivotButton="0" quotePrefix="0" xfId="0">
      <alignment horizontal="left" vertical="center" wrapText="1"/>
    </xf>
    <xf numFmtId="0" fontId="0" fillId="0" borderId="5" pivotButton="0" quotePrefix="0" xfId="0"/>
    <xf numFmtId="0" fontId="15" fillId="4" borderId="0" applyAlignment="1" pivotButton="0" quotePrefix="0" xfId="0">
      <alignment horizontal="left" vertical="center"/>
    </xf>
    <xf numFmtId="0" fontId="10" fillId="4" borderId="0" applyAlignment="1" pivotButton="0" quotePrefix="0" xfId="0">
      <alignment horizontal="left" vertical="center"/>
    </xf>
    <xf numFmtId="0" fontId="12" fillId="0" borderId="3" applyAlignment="1" pivotButton="0" quotePrefix="0" xfId="0">
      <alignment vertical="bottom" wrapText="1"/>
    </xf>
    <xf numFmtId="0" fontId="0" fillId="0" borderId="6" pivotButton="0" quotePrefix="0" xfId="0"/>
    <xf numFmtId="0" fontId="8" fillId="0" borderId="1" applyAlignment="1" pivotButton="0" quotePrefix="0" xfId="0">
      <alignment vertical="top"/>
    </xf>
    <xf numFmtId="0" fontId="1" fillId="0" borderId="1" applyAlignment="1" pivotButton="0" quotePrefix="0" xfId="0">
      <alignment horizontal="left" vertical="top" wrapText="1"/>
    </xf>
    <xf numFmtId="0" fontId="0" fillId="0" borderId="1" pivotButton="0" quotePrefix="0" xfId="0"/>
    <xf numFmtId="0" fontId="8" fillId="0" borderId="1" applyAlignment="1" pivotButton="0" quotePrefix="0" xfId="0">
      <alignment horizontal="left" vertical="top" wrapText="1"/>
    </xf>
    <xf numFmtId="165" fontId="1" fillId="0" borderId="1" applyAlignment="1" pivotButton="0" quotePrefix="0" xfId="0">
      <alignment horizontal="left" vertical="top" wrapText="1"/>
    </xf>
    <xf numFmtId="9" fontId="1" fillId="0" borderId="1" applyAlignment="1" pivotButton="0" quotePrefix="0" xfId="0">
      <alignment horizontal="left" vertical="top"/>
    </xf>
    <xf numFmtId="0" fontId="1" fillId="0" borderId="1" applyAlignment="1" pivotButton="0" quotePrefix="0" xfId="0">
      <alignment horizontal="left" vertical="top"/>
    </xf>
    <xf numFmtId="0" fontId="8" fillId="0" borderId="1" pivotButton="0" quotePrefix="0" xfId="0"/>
    <xf numFmtId="0" fontId="1" fillId="0" borderId="1" applyAlignment="1" pivotButton="0" quotePrefix="0" xfId="0">
      <alignment horizontal="left"/>
    </xf>
    <xf numFmtId="0" fontId="8" fillId="0" borderId="7" pivotButton="0" quotePrefix="0" xfId="0"/>
    <xf numFmtId="0" fontId="8" fillId="0" borderId="7" applyAlignment="1" pivotButton="0" quotePrefix="0" xfId="0">
      <alignment horizontal="left"/>
    </xf>
    <xf numFmtId="0" fontId="8" fillId="0" borderId="0" applyAlignment="1" pivotButton="0" quotePrefix="0" xfId="0">
      <alignment horizontal="left"/>
    </xf>
    <xf numFmtId="0" fontId="16" fillId="0" borderId="0" pivotButton="0" quotePrefix="0" xfId="0"/>
    <xf numFmtId="0" fontId="8" fillId="0" borderId="1" applyAlignment="1" pivotButton="0" quotePrefix="0" xfId="0">
      <alignment horizontal="left"/>
    </xf>
    <xf numFmtId="0" fontId="0" fillId="0" borderId="7" pivotButton="0" quotePrefix="0" xfId="0"/>
    <xf numFmtId="0" fontId="4" fillId="0" borderId="0" applyAlignment="1" pivotButton="0" quotePrefix="0" xfId="0">
      <alignment vertical="top" wrapText="1"/>
    </xf>
    <xf numFmtId="0" fontId="17" fillId="0" borderId="1" applyAlignment="1" pivotButton="0" quotePrefix="0" xfId="0">
      <alignment horizontal="left" vertical="top" wrapText="1"/>
    </xf>
    <xf numFmtId="0" fontId="8" fillId="0" borderId="0" applyAlignment="1" pivotButton="0" quotePrefix="0" xfId="0">
      <alignment vertical="top" wrapText="1"/>
    </xf>
    <xf numFmtId="0" fontId="1" fillId="0" borderId="0" applyAlignment="1" pivotButton="0" quotePrefix="0" xfId="0">
      <alignment horizontal="left"/>
    </xf>
    <xf numFmtId="0" fontId="1" fillId="0" borderId="1" pivotButton="0" quotePrefix="0" xfId="0"/>
    <xf numFmtId="0" fontId="2" fillId="0" borderId="0" pivotButton="0" quotePrefix="0" xfId="0"/>
    <xf numFmtId="165" fontId="4" fillId="0" borderId="0" applyAlignment="1" pivotButton="0" quotePrefix="0" xfId="0">
      <alignment vertical="top" wrapText="1"/>
    </xf>
    <xf numFmtId="1" fontId="4" fillId="4" borderId="0" applyAlignment="1" pivotButton="0" quotePrefix="0" xfId="0">
      <alignment vertical="top" wrapText="1"/>
    </xf>
    <xf numFmtId="9" fontId="4" fillId="4" borderId="0" applyAlignment="1" pivotButton="0" quotePrefix="0" xfId="0">
      <alignment vertical="top" wrapText="1"/>
    </xf>
    <xf numFmtId="0" fontId="4" fillId="4" borderId="0" applyAlignment="1" pivotButton="0" quotePrefix="0" xfId="0">
      <alignment vertical="top" wrapText="1"/>
    </xf>
    <xf numFmtId="0" fontId="5" fillId="2" borderId="0" applyAlignment="1" pivotButton="0" quotePrefix="0" xfId="0">
      <alignment horizontal="left" vertical="center" wrapText="1"/>
    </xf>
    <xf numFmtId="0" fontId="5" fillId="3" borderId="0" applyAlignment="1" pivotButton="0" quotePrefix="0" xfId="0">
      <alignment horizontal="left" vertical="center" wrapText="1"/>
    </xf>
    <xf numFmtId="0" fontId="1" fillId="0" borderId="1" applyAlignment="1" pivotButton="0" quotePrefix="0" xfId="0">
      <alignment horizontal="left" vertical="top"/>
    </xf>
    <xf numFmtId="165" fontId="1" fillId="0" borderId="1" applyAlignment="1" pivotButton="0" quotePrefix="0" xfId="0">
      <alignment horizontal="left" vertical="top"/>
    </xf>
    <xf numFmtId="1" fontId="1" fillId="4" borderId="1" applyAlignment="1" pivotButton="0" quotePrefix="0" xfId="0">
      <alignment horizontal="left" vertical="top" wrapText="1"/>
    </xf>
    <xf numFmtId="9" fontId="1" fillId="4" borderId="1" applyAlignment="1" pivotButton="0" quotePrefix="0" xfId="0">
      <alignment horizontal="left" vertical="top" wrapText="1"/>
    </xf>
    <xf numFmtId="0" fontId="1" fillId="4" borderId="1" applyAlignment="1" pivotButton="0" quotePrefix="0" xfId="0">
      <alignment horizontal="left" vertical="top" wrapText="1"/>
    </xf>
    <xf numFmtId="165" fontId="4" fillId="4" borderId="0" applyAlignment="1" pivotButton="0" quotePrefix="0" xfId="0">
      <alignment vertical="top" wrapText="1"/>
    </xf>
    <xf numFmtId="165" fontId="1" fillId="4" borderId="1" applyAlignment="1" pivotButton="0" quotePrefix="0" xfId="0">
      <alignment horizontal="left" vertical="top" wrapText="1"/>
    </xf>
    <xf numFmtId="0" fontId="1" fillId="4" borderId="1" applyAlignment="1" pivotButton="0" quotePrefix="0" xfId="0">
      <alignment horizontal="center" vertical="top" wrapText="1"/>
    </xf>
    <xf numFmtId="0" fontId="1" fillId="0" borderId="1" applyAlignment="1" pivotButton="0" quotePrefix="0" xfId="0">
      <alignment horizontal="center" vertical="top"/>
    </xf>
    <xf numFmtId="0" fontId="5" fillId="2" borderId="0" applyAlignment="1" pivotButton="0" quotePrefix="0" xfId="0">
      <alignment horizontal="left"/>
    </xf>
    <xf numFmtId="0" fontId="1" fillId="0" borderId="0" pivotButton="0" quotePrefix="0" xfId="0"/>
    <xf numFmtId="0" fontId="6" fillId="0" borderId="0" pivotButton="0" quotePrefix="0" xfId="0"/>
  </cellXfs>
  <cellStyles count="1">
    <cellStyle name="Normal" xfId="0" builtinId="0" hidden="0"/>
  </cellStyles>
  <dxfs count="12">
    <dxf>
      <font>
        <name val="Arial"/>
        <b val="1"/>
        <color rgb="00A93632"/>
        <sz val="26"/>
      </font>
    </dxf>
    <dxf>
      <font>
        <name val="Arial"/>
        <color rgb="001E5B34"/>
      </font>
      <fill>
        <patternFill patternType="solid">
          <fgColor rgb="00E3F1E7"/>
          <bgColor rgb="00E3F1E7"/>
        </patternFill>
      </fill>
    </dxf>
    <dxf>
      <font>
        <name val="Arial"/>
        <b val="1"/>
        <color rgb="00192E43"/>
      </font>
      <fill>
        <patternFill patternType="solid">
          <fgColor rgb="00F2F4F6"/>
          <bgColor rgb="00F2F4F6"/>
        </patternFill>
      </fill>
    </dxf>
    <dxf>
      <font>
        <name val="Arial"/>
        <b val="1"/>
        <color rgb="007A4B00"/>
      </font>
      <fill>
        <patternFill patternType="solid">
          <fgColor rgb="00FBEFD5"/>
          <bgColor rgb="00FBEFD5"/>
        </patternFill>
      </fill>
    </dxf>
    <dxf>
      <font>
        <name val="Arial"/>
        <b val="1"/>
        <color rgb="008E2B28"/>
      </font>
      <fill>
        <patternFill patternType="solid">
          <fgColor rgb="00F6DEDC"/>
          <bgColor rgb="00F6DEDC"/>
        </patternFill>
      </fill>
    </dxf>
    <dxf>
      <font>
        <name val="Arial"/>
        <color rgb="0052606D"/>
      </font>
      <fill>
        <patternFill patternType="solid">
          <fgColor rgb="00FFFFFF"/>
          <bgColor rgb="00FFFFFF"/>
        </patternFill>
      </fill>
    </dxf>
    <dxf>
      <font>
        <name val="Arial"/>
        <color rgb="0052606D"/>
      </font>
      <fill>
        <patternFill patternType="solid">
          <fgColor rgb="00F2F4F6"/>
          <bgColor rgb="00F2F4F6"/>
        </patternFill>
      </fill>
    </dxf>
    <dxf>
      <font>
        <name val="Arial"/>
        <b val="1"/>
        <color rgb="008E2B28"/>
      </font>
    </dxf>
    <dxf>
      <font>
        <name val="Arial"/>
        <b val="1"/>
        <color rgb="001E5B34"/>
      </font>
      <fill>
        <patternFill patternType="solid">
          <fgColor rgb="00E3F1E7"/>
          <bgColor rgb="00E3F1E7"/>
        </patternFill>
      </fill>
    </dxf>
    <dxf>
      <font>
        <name val="Arial"/>
        <color rgb="007A4B00"/>
      </font>
      <fill>
        <patternFill patternType="solid">
          <fgColor rgb="00FBEFD5"/>
          <bgColor rgb="00FBEFD5"/>
        </patternFill>
      </fill>
    </dxf>
    <dxf>
      <font>
        <name val="Arial"/>
        <color rgb="00192E43"/>
      </font>
      <fill>
        <patternFill patternType="solid">
          <fgColor rgb="00FFFFFF"/>
          <bgColor rgb="00FFFFFF"/>
        </patternFill>
      </fill>
    </dxf>
    <dxf>
      <font>
        <name val="Arial"/>
        <color rgb="008E2B28"/>
      </font>
      <fill>
        <patternFill patternType="solid">
          <fgColor rgb="00F6DEDC"/>
          <bgColor rgb="00F6DED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harts/chart1.xml><?xml version="1.0" encoding="utf-8"?>
<chartSpace xmlns="http://schemas.openxmlformats.org/drawingml/2006/chart">
  <style val="2"/>
  <chart>
    <title>
      <tx>
        <rich>
          <a:bodyPr xmlns:a="http://schemas.openxmlformats.org/drawingml/2006/main"/>
          <a:p xmlns:a="http://schemas.openxmlformats.org/drawingml/2006/main">
            <a:pPr>
              <a:defRPr/>
            </a:pPr>
            <a:r>
              <a:t>Milestones by quarter</a:t>
            </a:r>
          </a:p>
        </rich>
      </tx>
    </title>
    <plotArea>
      <barChart>
        <barDir val="col"/>
        <grouping val="stacked"/>
        <ser>
          <idx val="0"/>
          <order val="0"/>
          <tx>
            <strRef>
              <f>'Dashboard'!D24</f>
            </strRef>
          </tx>
          <spPr>
            <a:solidFill xmlns:a="http://schemas.openxmlformats.org/drawingml/2006/main">
              <a:srgbClr val="192E43"/>
            </a:solidFill>
            <a:ln xmlns:a="http://schemas.openxmlformats.org/drawingml/2006/main">
              <a:solidFill>
                <a:srgbClr val="192E43"/>
              </a:solidFill>
              <a:prstDash val="solid"/>
            </a:ln>
          </spPr>
          <cat>
            <numRef>
              <f>'Dashboard'!$B$25:$B$28</f>
            </numRef>
          </cat>
          <val>
            <numRef>
              <f>'Dashboard'!$D$25:$D$28</f>
            </numRef>
          </val>
        </ser>
        <ser>
          <idx val="1"/>
          <order val="1"/>
          <tx>
            <strRef>
              <f>'Dashboard'!E24</f>
            </strRef>
          </tx>
          <spPr>
            <a:solidFill xmlns:a="http://schemas.openxmlformats.org/drawingml/2006/main">
              <a:srgbClr val="9AA7B4"/>
            </a:solidFill>
            <a:ln xmlns:a="http://schemas.openxmlformats.org/drawingml/2006/main">
              <a:solidFill>
                <a:srgbClr val="9AA7B4"/>
              </a:solidFill>
              <a:prstDash val="solid"/>
            </a:ln>
          </spPr>
          <cat>
            <numRef>
              <f>'Dashboard'!$B$25:$B$28</f>
            </numRef>
          </cat>
          <val>
            <numRef>
              <f>'Dashboard'!$E$25:$E$28</f>
            </numRef>
          </val>
        </ser>
        <ser>
          <idx val="2"/>
          <order val="2"/>
          <tx>
            <strRef>
              <f>'Dashboard'!F24</f>
            </strRef>
          </tx>
          <spPr>
            <a:solidFill xmlns:a="http://schemas.openxmlformats.org/drawingml/2006/main">
              <a:srgbClr val="A93632"/>
            </a:solidFill>
            <a:ln xmlns:a="http://schemas.openxmlformats.org/drawingml/2006/main">
              <a:solidFill>
                <a:srgbClr val="A93632"/>
              </a:solidFill>
              <a:prstDash val="solid"/>
            </a:ln>
          </spPr>
          <cat>
            <numRef>
              <f>'Dashboard'!$B$25:$B$28</f>
            </numRef>
          </cat>
          <val>
            <numRef>
              <f>'Dashboard'!$F$25:$F$28</f>
            </numRef>
          </val>
        </ser>
        <gapWidth val="150"/>
        <overlap val="100"/>
        <axId val="10"/>
        <axId val="100"/>
      </barChart>
      <catAx>
        <axId val="10"/>
        <scaling>
          <orientation val="minMax"/>
        </scaling>
        <delete val="0"/>
        <axPos val="l"/>
        <majorTickMark val="none"/>
        <minorTickMark val="none"/>
        <crossAx val="100"/>
        <lblOffset val="100"/>
      </catAx>
      <valAx>
        <axId val="100"/>
        <scaling>
          <orientation val="minMax"/>
        </scaling>
        <delete val="0"/>
        <axPos val="l"/>
        <title>
          <tx>
            <rich>
              <a:bodyPr xmlns:a="http://schemas.openxmlformats.org/drawingml/2006/main"/>
              <a:p xmlns:a="http://schemas.openxmlformats.org/drawingml/2006/main">
                <a:pPr>
                  <a:defRPr/>
                </a:pPr>
                <a:r>
                  <a:t>Milestones</a:t>
                </a:r>
              </a:p>
            </rich>
          </tx>
        </title>
        <majorTickMark val="none"/>
        <minorTickMark val="none"/>
        <crossAx val="10"/>
      </valAx>
    </plotArea>
    <legend>
      <legendPos val="b"/>
    </legend>
    <plotVisOnly val="1"/>
    <dispBlanksAs val="gap"/>
  </chart>
</chartSpace>
</file>

<file path=xl/charts/chart2.xml><?xml version="1.0" encoding="utf-8"?>
<chartSpace xmlns="http://schemas.openxmlformats.org/drawingml/2006/chart">
  <style val="2"/>
  <chart>
    <title>
      <tx>
        <rich>
          <a:bodyPr xmlns:a="http://schemas.openxmlformats.org/drawingml/2006/main"/>
          <a:p xmlns:a="http://schemas.openxmlformats.org/drawingml/2006/main">
            <a:pPr>
              <a:defRPr/>
            </a:pPr>
            <a:r>
              <a:t>Objectives by status</a:t>
            </a:r>
          </a:p>
        </rich>
      </tx>
    </title>
    <plotArea>
      <barChart>
        <barDir val="bar"/>
        <grouping val="clustered"/>
        <ser>
          <idx val="0"/>
          <order val="0"/>
          <tx>
            <strRef>
              <f>'Dashboard'!K24</f>
            </strRef>
          </tx>
          <spPr>
            <a:solidFill xmlns:a="http://schemas.openxmlformats.org/drawingml/2006/main">
              <a:srgbClr val="192E43"/>
            </a:solidFill>
            <a:ln xmlns:a="http://schemas.openxmlformats.org/drawingml/2006/main">
              <a:prstDash val="solid"/>
            </a:ln>
          </spPr>
          <cat>
            <numRef>
              <f>'Dashboard'!$I$25:$I$30</f>
            </numRef>
          </cat>
          <val>
            <numRef>
              <f>'Dashboard'!$K$25:$K$30</f>
            </numRef>
          </val>
        </ser>
        <dLbls>
          <showLegendKey val="0"/>
          <showVal val="1"/>
          <showCatName val="0"/>
          <showSerName val="0"/>
          <showPercent val="0"/>
        </dLbls>
        <gapWidth val="150"/>
        <axId val="10"/>
        <axId val="100"/>
      </barChart>
      <catAx>
        <axId val="10"/>
        <scaling>
          <orientation val="maxMin"/>
        </scaling>
        <delete val="0"/>
        <axPos val="l"/>
        <majorTickMark val="none"/>
        <minorTickMark val="none"/>
        <crossAx val="100"/>
        <lblOffset val="100"/>
      </catAx>
      <valAx>
        <axId val="100"/>
        <scaling>
          <orientation val="minMax"/>
        </scaling>
        <delete val="0"/>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1</col>
      <colOff>0</colOff>
      <row>32</row>
      <rowOff>0</rowOff>
    </from>
    <ext cx="5220000" cy="2232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8</col>
      <colOff>0</colOff>
      <row>33</row>
      <rowOff>0</rowOff>
    </from>
    <ext cx="4428000" cy="2232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tblObjectives" displayName="tblObjectives" ref="A5:U20" headerRowCount="1">
  <autoFilter ref="A5:U20"/>
  <tableColumns count="21">
    <tableColumn id="1" name="ID"/>
    <tableColumn id="2" name="Objective"/>
    <tableColumn id="3" name="Type"/>
    <tableColumn id="4" name="Intended Outcome"/>
    <tableColumn id="5" name="Success Measure"/>
    <tableColumn id="6" name="Baseline"/>
    <tableColumn id="7" name="Target"/>
    <tableColumn id="8" name="Executive Priority"/>
    <tableColumn id="9" name="Lead"/>
    <tableColumn id="10" name="Support"/>
    <tableColumn id="11" name="Start Date"/>
    <tableColumn id="12" name="Target Date"/>
    <tableColumn id="13" name="Status"/>
    <tableColumn id="14" name="Status Note"/>
    <tableColumn id="15" name="Days to Target"/>
    <tableColumn id="16" name="Milestones"/>
    <tableColumn id="17" name="Milestones Complete"/>
    <tableColumn id="18" name="Percent Complete"/>
    <tableColumn id="19" name="Overdue Milestones"/>
    <tableColumn id="20" name="Open High Risks"/>
    <tableColumn id="21" name="Latest Review Status"/>
  </tableColumns>
  <tableStyleInfo name="TableStyleLight1" showRowStripes="0"/>
</table>
</file>

<file path=xl/tables/table2.xml><?xml version="1.0" encoding="utf-8"?>
<table xmlns="http://schemas.openxmlformats.org/spreadsheetml/2006/main" id="2" name="tblRelationships" displayName="tblRelationships" ref="A5:S45" headerRowCount="1">
  <autoFilter ref="A5:S45"/>
  <tableColumns count="19">
    <tableColumn id="1" name="ID"/>
    <tableColumn id="2" name="Government or Institution"/>
    <tableColumn id="3" name="Level"/>
    <tableColumn id="4" name="Key Contact"/>
    <tableColumn id="5" name="Contact Title"/>
    <tableColumn id="6" name="Our Lead"/>
    <tableColumn id="7" name="Tier"/>
    <tableColumn id="8" name="Posture"/>
    <tableColumn id="9" name="Relationship Health"/>
    <tableColumn id="10" name="What They Need From Us"/>
    <tableColumn id="11" name="What We Need From Them"/>
    <tableColumn id="12" name="Objective ID"/>
    <tableColumn id="13" name="Cadence"/>
    <tableColumn id="14" name="Notes"/>
    <tableColumn id="15" name="Cadence Days"/>
    <tableColumn id="16" name="Last Contact"/>
    <tableColumn id="17" name="Days Since Contact"/>
    <tableColumn id="18" name="Contact Status"/>
    <tableColumn id="19" name="Next Planned Contact"/>
  </tableColumns>
  <tableStyleInfo name="TableStyleLight1" showRowStripes="0"/>
</table>
</file>

<file path=xl/tables/table3.xml><?xml version="1.0" encoding="utf-8"?>
<table xmlns="http://schemas.openxmlformats.org/spreadsheetml/2006/main" id="3" name="tblPriorities" displayName="tblPriorities" ref="A5:U35" headerRowCount="1">
  <autoFilter ref="A5:U35"/>
  <tableColumns count="21">
    <tableColumn id="1" name="ID"/>
    <tableColumn id="2" name="Track"/>
    <tableColumn id="3" name="Item Type"/>
    <tableColumn id="4" name="Measure or Matter"/>
    <tableColumn id="5" name="Body or Agency"/>
    <tableColumn id="6" name="Level"/>
    <tableColumn id="7" name="Our Position"/>
    <tableColumn id="8" name="Objective ID"/>
    <tableColumn id="9" name="Lead"/>
    <tableColumn id="10" name="Stage"/>
    <tableColumn id="11" name="Clearance"/>
    <tableColumn id="12" name="Next Key Date"/>
    <tableColumn id="13" name="Key Date Description"/>
    <tableColumn id="14" name="Desired Outcome"/>
    <tableColumn id="15" name="Notes"/>
    <tableColumn id="16" name="Days to Key Date"/>
    <tableColumn id="17" name="Date Flag"/>
    <tableColumn id="18" name="Open"/>
    <tableColumn id="19" name="Attention"/>
    <tableColumn id="20" name="Open Actions"/>
    <tableColumn id="21" name="Upcoming Rank"/>
  </tableColumns>
  <tableStyleInfo name="TableStyleLight1" showRowStripes="0"/>
</table>
</file>

<file path=xl/tables/table4.xml><?xml version="1.0" encoding="utf-8"?>
<table xmlns="http://schemas.openxmlformats.org/spreadsheetml/2006/main" id="4" name="tblActions" displayName="tblActions" ref="A5:N125" headerRowCount="1">
  <autoFilter ref="A5:N125"/>
  <tableColumns count="14">
    <tableColumn id="1" name="ID"/>
    <tableColumn id="2" name="Date"/>
    <tableColumn id="3" name="Action Type"/>
    <tableColumn id="4" name="Description"/>
    <tableColumn id="5" name="Objective ID"/>
    <tableColumn id="6" name="Relationship ID"/>
    <tableColumn id="7" name="Priority ID"/>
    <tableColumn id="8" name="Owner"/>
    <tableColumn id="9" name="Status"/>
    <tableColumn id="10" name="Outcome or Result"/>
    <tableColumn id="11" name="Next Step"/>
    <tableColumn id="12" name="Quarter"/>
    <tableColumn id="13" name="Timing Flag"/>
    <tableColumn id="14" name="Days Overdue"/>
  </tableColumns>
  <tableStyleInfo name="TableStyleLight1" showRowStripes="0"/>
</table>
</file>

<file path=xl/tables/table5.xml><?xml version="1.0" encoding="utf-8"?>
<table xmlns="http://schemas.openxmlformats.org/spreadsheetml/2006/main" id="5" name="tblMilestones" displayName="tblMilestones" ref="A5:S85" headerRowCount="1">
  <autoFilter ref="A5:S85"/>
  <tableColumns count="19">
    <tableColumn id="1" name="ID"/>
    <tableColumn id="2" name="Milestone"/>
    <tableColumn id="3" name="Objective ID"/>
    <tableColumn id="4" name="Type"/>
    <tableColumn id="5" name="Owner"/>
    <tableColumn id="6" name="Due Date"/>
    <tableColumn id="7" name="Revised Due Date"/>
    <tableColumn id="8" name="Status"/>
    <tableColumn id="9" name="Completed Date"/>
    <tableColumn id="10" name="Depends On"/>
    <tableColumn id="11" name="Critical Path"/>
    <tableColumn id="12" name="Notes"/>
    <tableColumn id="13" name="Effective Due"/>
    <tableColumn id="14" name="Quarter"/>
    <tableColumn id="15" name="Slip Days"/>
    <tableColumn id="16" name="Days to Due"/>
    <tableColumn id="17" name="Schedule Flag"/>
    <tableColumn id="18" name="Dependency Status"/>
    <tableColumn id="19" name="Open Rank"/>
  </tableColumns>
  <tableStyleInfo name="TableStyleLight1" showRowStripes="0"/>
</table>
</file>

<file path=xl/tables/table6.xml><?xml version="1.0" encoding="utf-8"?>
<table xmlns="http://schemas.openxmlformats.org/spreadsheetml/2006/main" id="6" name="tblRisks" displayName="tblRisks" ref="A5:T35" headerRowCount="1">
  <autoFilter ref="A5:T35"/>
  <tableColumns count="20">
    <tableColumn id="1" name="ID"/>
    <tableColumn id="2" name="Risk Statement"/>
    <tableColumn id="3" name="Category"/>
    <tableColumn id="4" name="Objective ID"/>
    <tableColumn id="5" name="Likelihood"/>
    <tableColumn id="6" name="Impact"/>
    <tableColumn id="7" name="Early Warning Indicator"/>
    <tableColumn id="8" name="Mitigation or Contingency"/>
    <tableColumn id="9" name="Owner"/>
    <tableColumn id="10" name="Status"/>
    <tableColumn id="11" name="Escalation Level"/>
    <tableColumn id="12" name="Date Identified"/>
    <tableColumn id="13" name="Last Reviewed"/>
    <tableColumn id="14" name="Likelihood Score"/>
    <tableColumn id="15" name="Impact Score"/>
    <tableColumn id="16" name="Exposure"/>
    <tableColumn id="17" name="Rating"/>
    <tableColumn id="18" name="Days Since Review"/>
    <tableColumn id="19" name="Review Flag"/>
    <tableColumn id="20" name="Risk Rank"/>
  </tableColumns>
  <tableStyleInfo name="TableStyleLight1" showRowStripes="0"/>
</table>
</file>

<file path=xl/tables/table7.xml><?xml version="1.0" encoding="utf-8"?>
<table xmlns="http://schemas.openxmlformats.org/spreadsheetml/2006/main" id="7" name="tblEscalations" displayName="tblEscalations" ref="A5:N30" headerRowCount="1">
  <autoFilter ref="A5:N30"/>
  <tableColumns count="14">
    <tableColumn id="1" name="ID"/>
    <tableColumn id="2" name="Date Raised"/>
    <tableColumn id="3" name="Risk ID"/>
    <tableColumn id="4" name="Objective ID"/>
    <tableColumn id="5" name="Issue"/>
    <tableColumn id="6" name="Escalated To"/>
    <tableColumn id="7" name="Raised By"/>
    <tableColumn id="8" name="Decision or Direction Requested"/>
    <tableColumn id="9" name="Response Due"/>
    <tableColumn id="10" name="Date Resolved"/>
    <tableColumn id="11" name="Decision Made"/>
    <tableColumn id="12" name="Response Status"/>
    <tableColumn id="13" name="Days Open"/>
    <tableColumn id="14" name="Days Past Due"/>
  </tableColumns>
  <tableStyleInfo name="TableStyleLight1" showRowStripes="0"/>
</table>
</file>

<file path=xl/tables/table8.xml><?xml version="1.0" encoding="utf-8"?>
<table xmlns="http://schemas.openxmlformats.org/spreadsheetml/2006/main" id="8" name="tblQuarterly" displayName="tblQuarterly" ref="A5:M45" headerRowCount="1">
  <autoFilter ref="A5:M45"/>
  <tableColumns count="13">
    <tableColumn id="1" name="Quarter"/>
    <tableColumn id="2" name="Objective ID"/>
    <tableColumn id="3" name="Objective"/>
    <tableColumn id="4" name="Review Date"/>
    <tableColumn id="5" name="Status"/>
    <tableColumn id="6" name="Evidence of Progress"/>
    <tableColumn id="7" name="Variance and Cause"/>
    <tableColumn id="8" name="Adjustment Made"/>
    <tableColumn id="9" name="Leadership Decision Needed"/>
    <tableColumn id="10" name="Reviewed By"/>
    <tableColumn id="11" name="Key"/>
    <tableColumn id="12" name="Prior Status"/>
    <tableColumn id="13" name="Movement"/>
  </tableColumns>
  <tableStyleInfo name="TableStyleLight1" showRow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table" Target="/xl/tables/table1.xml" Id="rId1"/></Relationships>
</file>

<file path=xl/worksheets/_rels/sheet4.xml.rels><Relationships xmlns="http://schemas.openxmlformats.org/package/2006/relationships"><Relationship Type="http://schemas.openxmlformats.org/officeDocument/2006/relationships/table" Target="/xl/tables/table2.xml" Id="rId1"/></Relationships>
</file>

<file path=xl/worksheets/_rels/sheet5.xml.rels><Relationships xmlns="http://schemas.openxmlformats.org/package/2006/relationships"><Relationship Type="http://schemas.openxmlformats.org/officeDocument/2006/relationships/table" Target="/xl/tables/table3.xml" Id="rId1"/></Relationships>
</file>

<file path=xl/worksheets/_rels/sheet6.xml.rels><Relationships xmlns="http://schemas.openxmlformats.org/package/2006/relationships"><Relationship Type="http://schemas.openxmlformats.org/officeDocument/2006/relationships/table" Target="/xl/tables/table4.xml" Id="rId1"/></Relationships>
</file>

<file path=xl/worksheets/_rels/sheet7.xml.rels><Relationships xmlns="http://schemas.openxmlformats.org/package/2006/relationships"><Relationship Type="http://schemas.openxmlformats.org/officeDocument/2006/relationships/table" Target="/xl/tables/table5.xml" Id="rId1"/></Relationships>
</file>

<file path=xl/worksheets/_rels/sheet8.xml.rels><Relationships xmlns="http://schemas.openxmlformats.org/package/2006/relationships"><Relationship Type="http://schemas.openxmlformats.org/officeDocument/2006/relationships/table" Target="/xl/tables/table6.xml" Id="rId1"/></Relationships>
</file>

<file path=xl/worksheets/_rels/sheet9.xml.rels><Relationships xmlns="http://schemas.openxmlformats.org/package/2006/relationships"><Relationship Type="http://schemas.openxmlformats.org/officeDocument/2006/relationships/table" Target="/xl/tables/table7.xml" Id="rId1"/></Relationships>
</file>

<file path=xl/worksheets/_rels/sheet10.xml.rels><Relationships xmlns="http://schemas.openxmlformats.org/package/2006/relationships"><Relationship Type="http://schemas.openxmlformats.org/officeDocument/2006/relationships/table" Target="/xl/tables/table8.xml" Id="rId1"/></Relationships>
</file>

<file path=xl/worksheets/sheet1.xml><?xml version="1.0" encoding="utf-8"?>
<worksheet xmlns="http://schemas.openxmlformats.org/spreadsheetml/2006/main">
  <sheetPr>
    <tabColor rgb="00A93632"/>
    <outlinePr summaryBelow="1" summaryRight="1"/>
    <pageSetUpPr fitToPage="1"/>
  </sheetPr>
  <dimension ref="B1:E45"/>
  <sheetViews>
    <sheetView showGridLines="0" workbookViewId="0">
      <selection activeCell="A1" sqref="A1"/>
    </sheetView>
  </sheetViews>
  <sheetFormatPr baseColWidth="8" defaultRowHeight="15"/>
  <cols>
    <col width="3" customWidth="1" min="1" max="1"/>
    <col width="36" customWidth="1" min="2" max="2"/>
    <col width="52" customWidth="1" min="3" max="3"/>
    <col width="30" customWidth="1" min="4" max="4"/>
    <col width="30" customWidth="1" min="5" max="5"/>
  </cols>
  <sheetData>
    <row r="1">
      <c r="B1" s="1" t="inlineStr">
        <is>
          <t>Annual Intergovernmental Affairs Strategic Plan Tracker</t>
        </is>
      </c>
    </row>
    <row r="2">
      <c r="B2" s="2" t="inlineStr">
        <is>
          <t>Intergov Association Resource Library. Companion to the Annual Strategic Plan Template.</t>
        </is>
      </c>
    </row>
    <row r="4" ht="18" customHeight="1">
      <c r="B4" s="3" t="inlineStr">
        <is>
          <t>SETUP: complete these cells first</t>
        </is>
      </c>
      <c r="C4" s="4" t="n"/>
      <c r="D4" s="4" t="n"/>
      <c r="E4" s="4" t="n"/>
    </row>
    <row r="5" ht="26" customHeight="1">
      <c r="B5" s="5" t="inlineStr">
        <is>
          <t>Organization</t>
        </is>
      </c>
      <c r="C5" s="6" t="n"/>
      <c r="D5" s="7" t="inlineStr">
        <is>
          <t>Name that appears on the dashboard.</t>
        </is>
      </c>
    </row>
    <row r="6" ht="26" customHeight="1">
      <c r="B6" s="5" t="inlineStr">
        <is>
          <t>Office</t>
        </is>
      </c>
      <c r="C6" s="6" t="n"/>
      <c r="D6" s="7" t="inlineStr">
        <is>
          <t>Your unit within the organization.</t>
        </is>
      </c>
    </row>
    <row r="7" ht="26" customHeight="1">
      <c r="B7" s="5" t="inlineStr">
        <is>
          <t>Plan year</t>
        </is>
      </c>
      <c r="C7" s="8" t="n"/>
      <c r="D7" s="7" t="inlineStr">
        <is>
          <t>The year the plan covers, for example 2027.</t>
        </is>
      </c>
    </row>
    <row r="8" ht="26" customHeight="1">
      <c r="B8" s="5" t="inlineStr">
        <is>
          <t>Plan year starts in month (1 to 12)</t>
        </is>
      </c>
      <c r="C8" s="8" t="n">
        <v>1</v>
      </c>
      <c r="D8" s="7" t="inlineStr">
        <is>
          <t>1 for a calendar-year plan. 7 for a plan that starts in July. Drives quarter labels.</t>
        </is>
      </c>
    </row>
    <row r="9" ht="26" customHeight="1">
      <c r="B9" s="5" t="inlineStr">
        <is>
          <t>Report as-of date</t>
        </is>
      </c>
      <c r="C9" s="9" t="n"/>
      <c r="D9" s="7" t="inlineStr">
        <is>
          <t>Leave blank to use today's date. Enter a date to freeze the reporting position.</t>
        </is>
      </c>
    </row>
    <row r="10" ht="26" customHeight="1">
      <c r="B10" s="5" t="inlineStr">
        <is>
          <t>Risk review interval (days)</t>
        </is>
      </c>
      <c r="C10" s="8" t="n">
        <v>90</v>
      </c>
      <c r="D10" s="7" t="inlineStr">
        <is>
          <t>A risk not reviewed within this many days is flagged.</t>
        </is>
      </c>
    </row>
    <row r="11">
      <c r="B11" s="5" t="inlineStr">
        <is>
          <t>Date used for all reporting</t>
        </is>
      </c>
      <c r="C11" s="10">
        <f>IF(ISNUMBER(AsOfInput),AsOfInput,TODAY())</f>
        <v>46321.0</v>
      </c>
      <c r="D11" s="11" t="inlineStr">
        <is>
          <t>Calculated. Every overdue and due-soon flag measures against this date.</t>
        </is>
      </c>
    </row>
    <row r="13" ht="18" customHeight="1">
      <c r="B13" s="3" t="inlineStr">
        <is>
          <t>HOW TO USE THE WORKBOOK</t>
        </is>
      </c>
      <c r="C13" s="4" t="n"/>
      <c r="D13" s="4" t="n"/>
      <c r="E13" s="4" t="n"/>
    </row>
    <row r="14" ht="30" customHeight="1">
      <c r="B14" s="12" t="inlineStr">
        <is>
          <t>Step 1</t>
        </is>
      </c>
      <c r="C14" s="13" t="inlineStr">
        <is>
          <t>Complete the setup cells above. Leave the as-of date blank for everyday use. Enter a date when you prepare a quarterly report so figures match what leadership saw.</t>
        </is>
      </c>
    </row>
    <row r="15" ht="30" customHeight="1">
      <c r="B15" s="12" t="inlineStr">
        <is>
          <t>Step 2</t>
        </is>
      </c>
      <c r="C15" s="13" t="inlineStr">
        <is>
          <t>Enter objectives first. Their IDs (OBJ-1, OBJ-2, and so on) feed the dropdowns on every other sheet. Four to seven objectives is a workable range.</t>
        </is>
      </c>
    </row>
    <row r="16" ht="30" customHeight="1">
      <c r="B16" s="12" t="inlineStr">
        <is>
          <t>Step 3</t>
        </is>
      </c>
      <c r="C16" s="13" t="inlineStr">
        <is>
          <t>Add people to the People list on the Lists sheet so Lead and Owner entries stay consistent. Enter governments on Relationships and bills, rules, grants, and agreements on Priorities.</t>
        </is>
      </c>
    </row>
    <row r="17" ht="30" customHeight="1">
      <c r="B17" s="12" t="inlineStr">
        <is>
          <t>Step 4</t>
        </is>
      </c>
      <c r="C17" s="13" t="inlineStr">
        <is>
          <t>Break each objective into milestones: dated results with one owner. Mark dates other governments set as Fixed External Date, and dates you expect but no one has confirmed as Assumed External Date.</t>
        </is>
      </c>
    </row>
    <row r="18" ht="30" customHeight="1">
      <c r="B18" s="12" t="inlineStr">
        <is>
          <t>Step 5</t>
        </is>
      </c>
      <c r="C18" s="13" t="inlineStr">
        <is>
          <t>Log engagement on Actions as it happens. Give each completed action an outcome. A completed action linked to a Relationship ID updates that relationship's Last Contact and Contact Status automatically.</t>
        </is>
      </c>
    </row>
    <row r="19" ht="30" customHeight="1">
      <c r="B19" s="12" t="inlineStr">
        <is>
          <t>Step 6</t>
        </is>
      </c>
      <c r="C19" s="13" t="inlineStr">
        <is>
          <t>Record risks with an early warning indicator you can observe. When an issue needs a decision above your level, log it on Escalations with the decision requested and the date you need it.</t>
        </is>
      </c>
    </row>
    <row r="20" ht="30" customHeight="1">
      <c r="B20" s="12" t="inlineStr">
        <is>
          <t>Step 7</t>
        </is>
      </c>
      <c r="C20" s="13" t="inlineStr">
        <is>
          <t>At each quarterly review, add one row per objective on Quarterly Review, then update the Status on Objectives to match. Move dates with Revised Due Date so the original date stays visible.</t>
        </is>
      </c>
    </row>
    <row r="21" ht="30" customHeight="1">
      <c r="B21" s="12" t="inlineStr">
        <is>
          <t>Step 8</t>
        </is>
      </c>
      <c r="C21" s="13" t="inlineStr">
        <is>
          <t>Read the Dashboard. It summarizes the other sheets and cannot be edited. Use the filter arrows on any table header to sort or filter.</t>
        </is>
      </c>
    </row>
    <row r="23" ht="18" customHeight="1">
      <c r="B23" s="3" t="inlineStr">
        <is>
          <t>WORKSHEETS</t>
        </is>
      </c>
      <c r="C23" s="4" t="n"/>
      <c r="D23" s="4" t="n"/>
      <c r="E23" s="4" t="n"/>
    </row>
    <row r="24">
      <c r="B24" s="14" t="inlineStr">
        <is>
          <t>Sheet</t>
        </is>
      </c>
      <c r="C24" s="14" t="inlineStr">
        <is>
          <t>What it is for</t>
        </is>
      </c>
      <c r="D24" s="14" t="inlineStr">
        <is>
          <t>Who updates it</t>
        </is>
      </c>
      <c r="E24" s="14" t="inlineStr">
        <is>
          <t>How often</t>
        </is>
      </c>
    </row>
    <row r="25" ht="30" customHeight="1">
      <c r="B25" s="15" t="inlineStr">
        <is>
          <t>Dashboard</t>
        </is>
      </c>
      <c r="C25" s="16" t="inlineStr">
        <is>
          <t>Summary of the whole workbook for leadership and for your own review.</t>
        </is>
      </c>
      <c r="D25" s="16" t="inlineStr">
        <is>
          <t>No one. Calculated.</t>
        </is>
      </c>
      <c r="E25" s="16" t="inlineStr">
        <is>
          <t>Read weekly</t>
        </is>
      </c>
    </row>
    <row r="26" ht="30" customHeight="1">
      <c r="B26" s="15" t="inlineStr">
        <is>
          <t>Objectives</t>
        </is>
      </c>
      <c r="C26" s="16" t="inlineStr">
        <is>
          <t>The plan's commitments, with progress calculated from milestones and risks.</t>
        </is>
      </c>
      <c r="D26" s="16" t="inlineStr">
        <is>
          <t>Plan owner and objective leads</t>
        </is>
      </c>
      <c r="E26" s="16" t="inlineStr">
        <is>
          <t>At each review</t>
        </is>
      </c>
    </row>
    <row r="27" ht="30" customHeight="1">
      <c r="B27" s="15" t="inlineStr">
        <is>
          <t>Relationships</t>
        </is>
      </c>
      <c r="C27" s="16" t="inlineStr">
        <is>
          <t>Priority governments, who owns each, and whether contact is keeping pace.</t>
        </is>
      </c>
      <c r="D27" s="16" t="inlineStr">
        <is>
          <t>Relationship leads</t>
        </is>
      </c>
      <c r="E27" s="16" t="inlineStr">
        <is>
          <t>Monthly</t>
        </is>
      </c>
    </row>
    <row r="28" ht="30" customHeight="1">
      <c r="B28" s="15" t="inlineStr">
        <is>
          <t>Priorities</t>
        </is>
      </c>
      <c r="C28" s="16" t="inlineStr">
        <is>
          <t>Bills, rules, grants, approvals, and agreements with positions and key dates.</t>
        </is>
      </c>
      <c r="D28" s="16" t="inlineStr">
        <is>
          <t>Item leads</t>
        </is>
      </c>
      <c r="E28" s="16" t="inlineStr">
        <is>
          <t>Weekly in session</t>
        </is>
      </c>
    </row>
    <row r="29" ht="16.5" customHeight="1">
      <c r="B29" s="15" t="inlineStr">
        <is>
          <t>Actions</t>
        </is>
      </c>
      <c r="C29" s="16" t="inlineStr">
        <is>
          <t>Engagement log. Feeds Last Contact on Relationships.</t>
        </is>
      </c>
      <c r="D29" s="16" t="inlineStr">
        <is>
          <t>Whoever acts</t>
        </is>
      </c>
      <c r="E29" s="16" t="inlineStr">
        <is>
          <t>As it happens</t>
        </is>
      </c>
    </row>
    <row r="30" ht="30" customHeight="1">
      <c r="B30" s="15" t="inlineStr">
        <is>
          <t>Milestones</t>
        </is>
      </c>
      <c r="C30" s="16" t="inlineStr">
        <is>
          <t>Dated results and dependencies. Feeds progress on Objectives.</t>
        </is>
      </c>
      <c r="D30" s="16" t="inlineStr">
        <is>
          <t>Milestone owners</t>
        </is>
      </c>
      <c r="E30" s="16" t="inlineStr">
        <is>
          <t>Weekly or biweekly</t>
        </is>
      </c>
    </row>
    <row r="31" ht="30" customHeight="1">
      <c r="B31" s="15" t="inlineStr">
        <is>
          <t>Risks</t>
        </is>
      </c>
      <c r="C31" s="16" t="inlineStr">
        <is>
          <t>Register of what could stop an objective, with early warning indicators.</t>
        </is>
      </c>
      <c r="D31" s="16" t="inlineStr">
        <is>
          <t>Risk owners</t>
        </is>
      </c>
      <c r="E31" s="16" t="inlineStr">
        <is>
          <t>Monthly, formal each quarter</t>
        </is>
      </c>
    </row>
    <row r="32" ht="30" customHeight="1">
      <c r="B32" s="15" t="inlineStr">
        <is>
          <t>Escalations</t>
        </is>
      </c>
      <c r="C32" s="16" t="inlineStr">
        <is>
          <t>Decisions requested above your level and whether they arrived in time.</t>
        </is>
      </c>
      <c r="D32" s="16" t="inlineStr">
        <is>
          <t>Plan owner</t>
        </is>
      </c>
      <c r="E32" s="16" t="inlineStr">
        <is>
          <t>As raised</t>
        </is>
      </c>
    </row>
    <row r="33" ht="30" customHeight="1">
      <c r="B33" s="15" t="inlineStr">
        <is>
          <t>Quarterly Review</t>
        </is>
      </c>
      <c r="C33" s="16" t="inlineStr">
        <is>
          <t>The permanent record of each quarter's status, evidence, and adjustments.</t>
        </is>
      </c>
      <c r="D33" s="16" t="inlineStr">
        <is>
          <t>Plan owner</t>
        </is>
      </c>
      <c r="E33" s="16" t="inlineStr">
        <is>
          <t>Each quarter</t>
        </is>
      </c>
    </row>
    <row r="34" ht="30" customHeight="1">
      <c r="B34" s="15" t="inlineStr">
        <is>
          <t>Definitions</t>
        </is>
      </c>
      <c r="C34" s="16" t="inlineStr">
        <is>
          <t>What each status, tier, rating, and flag means, and a field guide.</t>
        </is>
      </c>
      <c r="D34" s="16" t="inlineStr">
        <is>
          <t>Reference</t>
        </is>
      </c>
      <c r="E34" s="16" t="inlineStr">
        <is>
          <t>Read once</t>
        </is>
      </c>
    </row>
    <row r="35" ht="16.5" customHeight="1">
      <c r="B35" s="15" t="inlineStr">
        <is>
          <t>Lists</t>
        </is>
      </c>
      <c r="C35" s="16" t="inlineStr">
        <is>
          <t>Dropdown choices and the People list.</t>
        </is>
      </c>
      <c r="D35" s="16" t="inlineStr">
        <is>
          <t>Plan owner</t>
        </is>
      </c>
      <c r="E35" s="16" t="inlineStr">
        <is>
          <t>When names or terms change</t>
        </is>
      </c>
    </row>
    <row r="37" ht="18" customHeight="1">
      <c r="B37" s="3" t="inlineStr">
        <is>
          <t>CONVENTIONS AND LIMITS</t>
        </is>
      </c>
      <c r="C37" s="4" t="n"/>
      <c r="D37" s="4" t="n"/>
      <c r="E37" s="4" t="n"/>
    </row>
    <row r="38" ht="70.5" customHeight="1">
      <c r="B38" s="17" t="inlineStr">
        <is>
          <t>•</t>
        </is>
      </c>
      <c r="C38" s="13" t="inlineStr">
        <is>
          <t>Identifiers: EP-1 executive priority, OBJ-1 objective, REL-01 relationship, LEG-01 legislative item, ADM-01 administrative item, MS-001 milestone, ACT-001 action, RSK-01 risk, ESC-01 escalation. Number each type in sequence, never reuse an ID after an item closes, and use the same ID in the Word plan. The Data Checks on the Dashboard flag duplicate IDs, references to records that do not exist, LEG or ADM prefixes that do not match the Track, missing owners, and dates that do not make sense.</t>
        </is>
      </c>
    </row>
    <row r="39" ht="30" customHeight="1">
      <c r="B39" s="17" t="inlineStr">
        <is>
          <t>•</t>
        </is>
      </c>
      <c r="C39" s="13" t="inlineStr">
        <is>
          <t>The Word plan holds executive summaries. This workbook holds the full registers: every contact, milestone, risk, and action. Update the workbook as work happens and the plan at each quarterly review.</t>
        </is>
      </c>
    </row>
    <row r="40" ht="30" customHeight="1">
      <c r="B40" s="17" t="inlineStr">
        <is>
          <t>•</t>
        </is>
      </c>
      <c r="C40" s="13" t="inlineStr">
        <is>
          <t>Navy headers mark input columns. Slate headers over gray cells mark calculated columns. Do not type over calculated cells.</t>
        </is>
      </c>
    </row>
    <row r="41" ht="16.5" customHeight="1">
      <c r="B41" s="17" t="inlineStr">
        <is>
          <t>•</t>
        </is>
      </c>
      <c r="C41" s="13" t="inlineStr">
        <is>
          <t>Status colors always appear with the status word. Nothing in the workbook depends on color alone.</t>
        </is>
      </c>
    </row>
    <row r="42" ht="57" customHeight="1">
      <c r="B42" s="17" t="inlineStr">
        <is>
          <t>•</t>
        </is>
      </c>
      <c r="C42" s="13" t="inlineStr">
        <is>
          <t>Each data sheet is an Excel table with formulas prefilled for 15 objectives, 40 relationships, 30 priorities, 120 actions, 80 milestones, 30 risks, 25 escalations, and 40 review rows. To add rows beyond that, select the last row of the table and copy it down, or drag the table's lower-right handle. The dashboard picks up added rows.</t>
        </is>
      </c>
    </row>
    <row r="43" ht="30" customHeight="1">
      <c r="B43" s="17" t="inlineStr">
        <is>
          <t>•</t>
        </is>
      </c>
      <c r="C43" s="13" t="inlineStr">
        <is>
          <t>Dropdown lists for Lead and Owner accept names that are not on the People list after a warning. All other dropdowns accept only listed values.</t>
        </is>
      </c>
    </row>
    <row r="44" ht="30" customHeight="1">
      <c r="B44" s="17" t="inlineStr">
        <is>
          <t>•</t>
        </is>
      </c>
      <c r="C44" s="13" t="inlineStr">
        <is>
          <t>Built for Microsoft Excel 2016 or later, including Microsoft 365. It uses no macros, add-ins, or external connections. Google Sheets does not support the table references used here.</t>
        </is>
      </c>
    </row>
    <row r="45" ht="16.5" customHeight="1">
      <c r="B45" s="17" t="inlineStr">
        <is>
          <t>•</t>
        </is>
      </c>
      <c r="C45" s="13" t="inlineStr">
        <is>
          <t>The dashboard lists the first ten objectives. Counts and charts include every row.</t>
        </is>
      </c>
    </row>
  </sheetData>
  <mergeCells count="23">
    <mergeCell ref="C16:E16"/>
    <mergeCell ref="C44:E44"/>
    <mergeCell ref="D10:E10"/>
    <mergeCell ref="C41:E41"/>
    <mergeCell ref="C40:E40"/>
    <mergeCell ref="C21:E21"/>
    <mergeCell ref="C43:E43"/>
    <mergeCell ref="D6:E6"/>
    <mergeCell ref="D11:E11"/>
    <mergeCell ref="C39:E39"/>
    <mergeCell ref="C17:E17"/>
    <mergeCell ref="C38:E38"/>
    <mergeCell ref="D7:E7"/>
    <mergeCell ref="C19:E19"/>
    <mergeCell ref="C18:E18"/>
    <mergeCell ref="D9:E9"/>
    <mergeCell ref="C15:E15"/>
    <mergeCell ref="D8:E8"/>
    <mergeCell ref="C42:E42"/>
    <mergeCell ref="C14:E14"/>
    <mergeCell ref="C45:E45"/>
    <mergeCell ref="D5:E5"/>
    <mergeCell ref="C20:E20"/>
  </mergeCells>
  <dataValidations count="4">
    <dataValidation sqref="C8" showDropDown="0" showInputMessage="0" showErrorMessage="1" allowBlank="0" errorTitle="Month" error="Enter a month number from 1 to 12." type="whole" operator="between">
      <formula1>1</formula1>
      <formula2>12</formula2>
    </dataValidation>
    <dataValidation sqref="C7" showDropDown="0" showInputMessage="0" showErrorMessage="1" allowBlank="0" errorTitle="Plan year" error="Enter a four-digit year." type="whole" operator="between">
      <formula1>2000</formula1>
      <formula2>2100</formula2>
    </dataValidation>
    <dataValidation sqref="C9" showDropDown="0" showInputMessage="0" showErrorMessage="1" allowBlank="1" errorTitle="Date" error="Enter a valid date or leave blank." type="date" operator="greaterThanOrEqual">
      <formula1>36526</formula1>
    </dataValidation>
    <dataValidation sqref="C10" showDropDown="0" showInputMessage="0" showErrorMessage="1" allowBlank="0" errorTitle="Days" error="Enter a number of days from 7 to 365." type="whole" operator="between">
      <formula1>7</formula1>
      <formula2>365</formula2>
    </dataValidation>
  </dataValidations>
  <pageMargins left="0.75" right="0.75" top="1" bottom="1" header="0.5" footer="0.5"/>
  <pageSetup orientation="portrait" fitToHeight="0" fitToWidth="1"/>
</worksheet>
</file>

<file path=xl/worksheets/sheet2.xml><?xml version="1.0" encoding="utf-8"?>
<worksheet xmlns="http://schemas.openxmlformats.org/spreadsheetml/2006/main">
  <sheetPr>
    <tabColor rgb="00A93632"/>
    <outlinePr summaryBelow="1" summaryRight="1"/>
    <pageSetUpPr fitToPage="1"/>
  </sheetPr>
  <dimension ref="B1:M109"/>
  <sheetViews>
    <sheetView showGridLines="0" workbookViewId="0">
      <pane ySplit="4" topLeftCell="A5" activePane="bottomLeft" state="frozen"/>
      <selection pane="bottomLeft" activeCell="A1" sqref="A1"/>
    </sheetView>
  </sheetViews>
  <sheetFormatPr baseColWidth="8" defaultRowHeight="15"/>
  <cols>
    <col width="2" customWidth="1" min="1" max="1"/>
    <col width="13.5" customWidth="1" min="2" max="2"/>
    <col width="13.5" customWidth="1" min="3" max="3"/>
    <col width="13.5" customWidth="1" min="4" max="4"/>
    <col width="13.5" customWidth="1" min="5" max="5"/>
    <col width="13.5" customWidth="1" min="6" max="6"/>
    <col width="13.5" customWidth="1" min="7" max="7"/>
    <col width="13.5" customWidth="1" min="8" max="8"/>
    <col width="13.5" customWidth="1" min="9" max="9"/>
    <col width="13.5" customWidth="1" min="10" max="10"/>
    <col width="13.5" customWidth="1" min="11" max="11"/>
    <col width="13.5" customWidth="1" min="12" max="12"/>
    <col width="13.5" customWidth="1" min="13" max="13"/>
    <col width="2" customWidth="1" min="14" max="14"/>
  </cols>
  <sheetData>
    <row r="1">
      <c r="B1" s="1" t="inlineStr">
        <is>
          <t>Executive Dashboard</t>
        </is>
      </c>
    </row>
    <row r="2">
      <c r="B2" s="2" t="str">
        <f>OrgName&amp;"  |  "&amp;OfficeName&amp;"  |  Plan year "&amp;PlanYear&amp;"  |  Report date "&amp;TEXT(AsOf,"mmm d, yyyy")&amp;"  |  Quarter "&amp;("Q"&amp;(INT(MOD(MONTH(AsOf)-StartMonth,12)/3)+1))</f>
        <v>  |    |  Plan year   |  Report date Oct 26, 2026  |  Quarter Q4</v>
      </c>
    </row>
    <row r="3">
      <c r="B3" s="18" t="inlineStr">
        <is>
          <t>Every figure calculates from the worksheets. Set the report date on the Instructions sheet.</t>
        </is>
      </c>
    </row>
    <row r="5" ht="26" customHeight="1">
      <c r="B5" s="19" t="inlineStr">
        <is>
          <t>OBJECTIVES AT RISK OR OFF TRACK</t>
        </is>
      </c>
      <c r="C5" s="20" t="n"/>
      <c r="D5" s="19" t="inlineStr">
        <is>
          <t>OVERDUE MILESTONES</t>
        </is>
      </c>
      <c r="E5" s="20" t="n"/>
      <c r="F5" s="19" t="inlineStr">
        <is>
          <t>OPEN HIGH-EXPOSURE RISKS</t>
        </is>
      </c>
      <c r="G5" s="20" t="n"/>
      <c r="H5" s="19" t="inlineStr">
        <is>
          <t>RELATIONSHIPS OVERDUE FOR CONTACT</t>
        </is>
      </c>
      <c r="I5" s="20" t="n"/>
      <c r="J5" s="19" t="inlineStr">
        <is>
          <t>PRIORITIES NEEDING ATTENTION</t>
        </is>
      </c>
      <c r="K5" s="20" t="n"/>
      <c r="L5" s="19" t="inlineStr">
        <is>
          <t>ESCALATIONS AWAITING DECISION</t>
        </is>
      </c>
      <c r="M5" s="20" t="n"/>
    </row>
    <row r="6" ht="36" customHeight="1">
      <c r="B6" s="21">
        <f>COUNTIFS(tblObjectives[Status],"At Risk")+COUNTIFS(tblObjectives[Status],"Off Track")</f>
        <v>0</v>
      </c>
      <c r="D6" s="21">
        <f>COUNTIFS(tblMilestones[Schedule Flag],"Overdue")</f>
        <v>0</v>
      </c>
      <c r="F6" s="21">
        <f>COUNTIFS(tblRisks[Rating],"High",tblRisks[Status],"&lt;&gt;Closed")</f>
        <v>0</v>
      </c>
      <c r="H6" s="21">
        <f>COUNTIFS(tblRelationships[Contact Status],"Overdue")</f>
        <v>0</v>
      </c>
      <c r="J6" s="21">
        <f>COUNTIFS(tblPriorities[Attention],"?*")</f>
        <v>0</v>
      </c>
      <c r="L6" s="21">
        <f>COUNTIFS(tblEscalations[Response Status],"Open")+COUNTIFS(tblEscalations[Response Status],"Past Due")</f>
        <v>0</v>
      </c>
    </row>
    <row r="7" ht="16" customHeight="1">
      <c r="B7" s="22" t="str">
        <f>"of "&amp;COUNTIFS(tblObjectives[ID],"?*")&amp;" objectives"</f>
        <v>of 0 objectives</v>
      </c>
      <c r="D7" s="22" t="str">
        <f>"Due within 14 days: "&amp;COUNTIFS(tblMilestones[Schedule Flag],"Due Within 14 Days")</f>
        <v>Due within 14 days: 0</v>
      </c>
      <c r="F7" s="22" t="str">
        <f>"Escalated: "&amp;COUNTIFS(tblRisks[Status],"Escalated")</f>
        <v>Escalated: 0</v>
      </c>
      <c r="H7" s="22" t="str">
        <f>"No contact logged: "&amp;COUNTIFS(tblRelationships[Contact Status],"No Contact Logged")</f>
        <v>No contact logged: 0</v>
      </c>
      <c r="J7" s="22" t="str">
        <f>"Clearance needed: "&amp;COUNTIFS(tblPriorities[Attention],"Clearance Needed")</f>
        <v>Clearance needed: 0</v>
      </c>
      <c r="L7" s="22" t="str">
        <f>"Past due: "&amp;COUNTIFS(tblEscalations[Response Status],"Past Due")</f>
        <v>Past due: 0</v>
      </c>
    </row>
    <row r="9" ht="18" customHeight="1">
      <c r="B9" s="3" t="inlineStr">
        <is>
          <t>OBJECTIVES</t>
        </is>
      </c>
      <c r="C9" s="4" t="n"/>
      <c r="D9" s="4" t="n"/>
      <c r="E9" s="4" t="n"/>
      <c r="F9" s="4" t="n"/>
      <c r="G9" s="4" t="n"/>
      <c r="H9" s="4" t="n"/>
      <c r="I9" s="4" t="n"/>
      <c r="J9" s="4" t="n"/>
      <c r="K9" s="4" t="n"/>
      <c r="L9" s="4" t="n"/>
      <c r="M9" s="4" t="n"/>
    </row>
    <row r="10" ht="28" customHeight="1">
      <c r="B10" s="23" t="inlineStr">
        <is>
          <t>ID</t>
        </is>
      </c>
      <c r="C10" s="23" t="inlineStr">
        <is>
          <t>Objective</t>
        </is>
      </c>
      <c r="D10" s="24" t="n"/>
      <c r="E10" s="24" t="n"/>
      <c r="F10" s="24" t="n"/>
      <c r="G10" s="23" t="inlineStr">
        <is>
          <t>Lead</t>
        </is>
      </c>
      <c r="H10" s="23" t="inlineStr">
        <is>
          <t>Status</t>
        </is>
      </c>
      <c r="I10" s="23" t="inlineStr">
        <is>
          <t>Target date</t>
        </is>
      </c>
      <c r="J10" s="23" t="inlineStr">
        <is>
          <t>Milestones done</t>
        </is>
      </c>
      <c r="K10" s="23" t="inlineStr">
        <is>
          <t>Percent complete</t>
        </is>
      </c>
      <c r="L10" s="23" t="inlineStr">
        <is>
          <t>Overdue milestones</t>
        </is>
      </c>
      <c r="M10" s="23" t="inlineStr">
        <is>
          <t>Open high risks</t>
        </is>
      </c>
    </row>
    <row r="11" ht="18" customHeight="1">
      <c r="B11" s="25" t="str">
        <f>IFERROR(IF(INDEX(tblObjectives[ID],ROWS($B$11:$B11))="","",INDEX(tblObjectives[ID],ROWS($B$11:$B11))),"")</f>
        <v/>
      </c>
      <c r="C11" s="26" t="str">
        <f>IF($B11="","",INDEX(tblObjectives[Objective],ROWS($B$11:$B11))&amp;"")</f>
        <v/>
      </c>
      <c r="D11" s="27" t="n"/>
      <c r="E11" s="27" t="n"/>
      <c r="F11" s="27" t="n"/>
      <c r="G11" s="26" t="str">
        <f>IF($B11="","",INDEX(tblObjectives[Lead],ROWS($B$11:$B11))&amp;"")</f>
        <v/>
      </c>
      <c r="H11" s="28" t="str">
        <f>IF($B11="","",INDEX(tblObjectives[Status],ROWS($B$11:$B11))&amp;"")</f>
        <v/>
      </c>
      <c r="I11" s="29" t="str">
        <f>IF($B11="","",IF(INDEX(tblObjectives[Target Date],ROWS($B$11:$B11))="","",INDEX(tblObjectives[Target Date],ROWS($B$11:$B11))))</f>
        <v/>
      </c>
      <c r="J11" s="26" t="str">
        <f>IF($B11="","",INDEX(tblObjectives[Milestones Complete],ROWS($B$11:$B11))&amp;" of "&amp;INDEX(tblObjectives[Milestones],ROWS($B$11:$B11)))</f>
        <v/>
      </c>
      <c r="K11" s="30" t="str">
        <f>IF($B11="","",INDEX(tblObjectives[Percent Complete],ROWS($B$11:$B11)))</f>
        <v/>
      </c>
      <c r="L11" s="31" t="str">
        <f>IF($B11="","",INDEX(tblObjectives[Overdue Milestones],ROWS($B$11:$B11)))</f>
        <v/>
      </c>
      <c r="M11" s="31" t="str">
        <f>IF($B11="","",INDEX(tblObjectives[Open High Risks],ROWS($B$11:$B11)))</f>
        <v/>
      </c>
    </row>
    <row r="12" ht="18" customHeight="1">
      <c r="B12" s="25" t="str">
        <f>IFERROR(IF(INDEX(tblObjectives[ID],ROWS($B$11:$B12))="","",INDEX(tblObjectives[ID],ROWS($B$11:$B12))),"")</f>
        <v/>
      </c>
      <c r="C12" s="26" t="str">
        <f>IF($B12="","",INDEX(tblObjectives[Objective],ROWS($B$11:$B12))&amp;"")</f>
        <v/>
      </c>
      <c r="D12" s="27" t="n"/>
      <c r="E12" s="27" t="n"/>
      <c r="F12" s="27" t="n"/>
      <c r="G12" s="26" t="str">
        <f>IF($B12="","",INDEX(tblObjectives[Lead],ROWS($B$11:$B12))&amp;"")</f>
        <v/>
      </c>
      <c r="H12" s="28" t="str">
        <f>IF($B12="","",INDEX(tblObjectives[Status],ROWS($B$11:$B12))&amp;"")</f>
        <v/>
      </c>
      <c r="I12" s="29" t="str">
        <f>IF($B12="","",IF(INDEX(tblObjectives[Target Date],ROWS($B$11:$B12))="","",INDEX(tblObjectives[Target Date],ROWS($B$11:$B12))))</f>
        <v/>
      </c>
      <c r="J12" s="26" t="str">
        <f>IF($B12="","",INDEX(tblObjectives[Milestones Complete],ROWS($B$11:$B12))&amp;" of "&amp;INDEX(tblObjectives[Milestones],ROWS($B$11:$B12)))</f>
        <v/>
      </c>
      <c r="K12" s="30" t="str">
        <f>IF($B12="","",INDEX(tblObjectives[Percent Complete],ROWS($B$11:$B12)))</f>
        <v/>
      </c>
      <c r="L12" s="31" t="str">
        <f>IF($B12="","",INDEX(tblObjectives[Overdue Milestones],ROWS($B$11:$B12)))</f>
        <v/>
      </c>
      <c r="M12" s="31" t="str">
        <f>IF($B12="","",INDEX(tblObjectives[Open High Risks],ROWS($B$11:$B12)))</f>
        <v/>
      </c>
    </row>
    <row r="13" ht="18" customHeight="1">
      <c r="B13" s="25" t="str">
        <f>IFERROR(IF(INDEX(tblObjectives[ID],ROWS($B$11:$B13))="","",INDEX(tblObjectives[ID],ROWS($B$11:$B13))),"")</f>
        <v/>
      </c>
      <c r="C13" s="26" t="str">
        <f>IF($B13="","",INDEX(tblObjectives[Objective],ROWS($B$11:$B13))&amp;"")</f>
        <v/>
      </c>
      <c r="D13" s="27" t="n"/>
      <c r="E13" s="27" t="n"/>
      <c r="F13" s="27" t="n"/>
      <c r="G13" s="26" t="str">
        <f>IF($B13="","",INDEX(tblObjectives[Lead],ROWS($B$11:$B13))&amp;"")</f>
        <v/>
      </c>
      <c r="H13" s="28" t="str">
        <f>IF($B13="","",INDEX(tblObjectives[Status],ROWS($B$11:$B13))&amp;"")</f>
        <v/>
      </c>
      <c r="I13" s="29" t="str">
        <f>IF($B13="","",IF(INDEX(tblObjectives[Target Date],ROWS($B$11:$B13))="","",INDEX(tblObjectives[Target Date],ROWS($B$11:$B13))))</f>
        <v/>
      </c>
      <c r="J13" s="26" t="str">
        <f>IF($B13="","",INDEX(tblObjectives[Milestones Complete],ROWS($B$11:$B13))&amp;" of "&amp;INDEX(tblObjectives[Milestones],ROWS($B$11:$B13)))</f>
        <v/>
      </c>
      <c r="K13" s="30" t="str">
        <f>IF($B13="","",INDEX(tblObjectives[Percent Complete],ROWS($B$11:$B13)))</f>
        <v/>
      </c>
      <c r="L13" s="31" t="str">
        <f>IF($B13="","",INDEX(tblObjectives[Overdue Milestones],ROWS($B$11:$B13)))</f>
        <v/>
      </c>
      <c r="M13" s="31" t="str">
        <f>IF($B13="","",INDEX(tblObjectives[Open High Risks],ROWS($B$11:$B13)))</f>
        <v/>
      </c>
    </row>
    <row r="14" ht="18" customHeight="1">
      <c r="B14" s="25" t="str">
        <f>IFERROR(IF(INDEX(tblObjectives[ID],ROWS($B$11:$B14))="","",INDEX(tblObjectives[ID],ROWS($B$11:$B14))),"")</f>
        <v/>
      </c>
      <c r="C14" s="26" t="str">
        <f>IF($B14="","",INDEX(tblObjectives[Objective],ROWS($B$11:$B14))&amp;"")</f>
        <v/>
      </c>
      <c r="D14" s="27" t="n"/>
      <c r="E14" s="27" t="n"/>
      <c r="F14" s="27" t="n"/>
      <c r="G14" s="26" t="str">
        <f>IF($B14="","",INDEX(tblObjectives[Lead],ROWS($B$11:$B14))&amp;"")</f>
        <v/>
      </c>
      <c r="H14" s="28" t="str">
        <f>IF($B14="","",INDEX(tblObjectives[Status],ROWS($B$11:$B14))&amp;"")</f>
        <v/>
      </c>
      <c r="I14" s="29" t="str">
        <f>IF($B14="","",IF(INDEX(tblObjectives[Target Date],ROWS($B$11:$B14))="","",INDEX(tblObjectives[Target Date],ROWS($B$11:$B14))))</f>
        <v/>
      </c>
      <c r="J14" s="26" t="str">
        <f>IF($B14="","",INDEX(tblObjectives[Milestones Complete],ROWS($B$11:$B14))&amp;" of "&amp;INDEX(tblObjectives[Milestones],ROWS($B$11:$B14)))</f>
        <v/>
      </c>
      <c r="K14" s="30" t="str">
        <f>IF($B14="","",INDEX(tblObjectives[Percent Complete],ROWS($B$11:$B14)))</f>
        <v/>
      </c>
      <c r="L14" s="31" t="str">
        <f>IF($B14="","",INDEX(tblObjectives[Overdue Milestones],ROWS($B$11:$B14)))</f>
        <v/>
      </c>
      <c r="M14" s="31" t="str">
        <f>IF($B14="","",INDEX(tblObjectives[Open High Risks],ROWS($B$11:$B14)))</f>
        <v/>
      </c>
    </row>
    <row r="15" ht="18" customHeight="1">
      <c r="B15" s="25" t="str">
        <f>IFERROR(IF(INDEX(tblObjectives[ID],ROWS($B$11:$B15))="","",INDEX(tblObjectives[ID],ROWS($B$11:$B15))),"")</f>
        <v/>
      </c>
      <c r="C15" s="26" t="str">
        <f>IF($B15="","",INDEX(tblObjectives[Objective],ROWS($B$11:$B15))&amp;"")</f>
        <v/>
      </c>
      <c r="D15" s="27" t="n"/>
      <c r="E15" s="27" t="n"/>
      <c r="F15" s="27" t="n"/>
      <c r="G15" s="26" t="str">
        <f>IF($B15="","",INDEX(tblObjectives[Lead],ROWS($B$11:$B15))&amp;"")</f>
        <v/>
      </c>
      <c r="H15" s="28" t="str">
        <f>IF($B15="","",INDEX(tblObjectives[Status],ROWS($B$11:$B15))&amp;"")</f>
        <v/>
      </c>
      <c r="I15" s="29" t="str">
        <f>IF($B15="","",IF(INDEX(tblObjectives[Target Date],ROWS($B$11:$B15))="","",INDEX(tblObjectives[Target Date],ROWS($B$11:$B15))))</f>
        <v/>
      </c>
      <c r="J15" s="26" t="str">
        <f>IF($B15="","",INDEX(tblObjectives[Milestones Complete],ROWS($B$11:$B15))&amp;" of "&amp;INDEX(tblObjectives[Milestones],ROWS($B$11:$B15)))</f>
        <v/>
      </c>
      <c r="K15" s="30" t="str">
        <f>IF($B15="","",INDEX(tblObjectives[Percent Complete],ROWS($B$11:$B15)))</f>
        <v/>
      </c>
      <c r="L15" s="31" t="str">
        <f>IF($B15="","",INDEX(tblObjectives[Overdue Milestones],ROWS($B$11:$B15)))</f>
        <v/>
      </c>
      <c r="M15" s="31" t="str">
        <f>IF($B15="","",INDEX(tblObjectives[Open High Risks],ROWS($B$11:$B15)))</f>
        <v/>
      </c>
    </row>
    <row r="16" ht="18" customHeight="1">
      <c r="B16" s="25" t="str">
        <f>IFERROR(IF(INDEX(tblObjectives[ID],ROWS($B$11:$B16))="","",INDEX(tblObjectives[ID],ROWS($B$11:$B16))),"")</f>
        <v/>
      </c>
      <c r="C16" s="26" t="str">
        <f>IF($B16="","",INDEX(tblObjectives[Objective],ROWS($B$11:$B16))&amp;"")</f>
        <v/>
      </c>
      <c r="D16" s="27" t="n"/>
      <c r="E16" s="27" t="n"/>
      <c r="F16" s="27" t="n"/>
      <c r="G16" s="26" t="str">
        <f>IF($B16="","",INDEX(tblObjectives[Lead],ROWS($B$11:$B16))&amp;"")</f>
        <v/>
      </c>
      <c r="H16" s="28" t="str">
        <f>IF($B16="","",INDEX(tblObjectives[Status],ROWS($B$11:$B16))&amp;"")</f>
        <v/>
      </c>
      <c r="I16" s="29" t="str">
        <f>IF($B16="","",IF(INDEX(tblObjectives[Target Date],ROWS($B$11:$B16))="","",INDEX(tblObjectives[Target Date],ROWS($B$11:$B16))))</f>
        <v/>
      </c>
      <c r="J16" s="26" t="str">
        <f>IF($B16="","",INDEX(tblObjectives[Milestones Complete],ROWS($B$11:$B16))&amp;" of "&amp;INDEX(tblObjectives[Milestones],ROWS($B$11:$B16)))</f>
        <v/>
      </c>
      <c r="K16" s="30" t="str">
        <f>IF($B16="","",INDEX(tblObjectives[Percent Complete],ROWS($B$11:$B16)))</f>
        <v/>
      </c>
      <c r="L16" s="31" t="str">
        <f>IF($B16="","",INDEX(tblObjectives[Overdue Milestones],ROWS($B$11:$B16)))</f>
        <v/>
      </c>
      <c r="M16" s="31" t="str">
        <f>IF($B16="","",INDEX(tblObjectives[Open High Risks],ROWS($B$11:$B16)))</f>
        <v/>
      </c>
    </row>
    <row r="17" ht="18" customHeight="1">
      <c r="B17" s="25" t="str">
        <f>IFERROR(IF(INDEX(tblObjectives[ID],ROWS($B$11:$B17))="","",INDEX(tblObjectives[ID],ROWS($B$11:$B17))),"")</f>
        <v/>
      </c>
      <c r="C17" s="26" t="str">
        <f>IF($B17="","",INDEX(tblObjectives[Objective],ROWS($B$11:$B17))&amp;"")</f>
        <v/>
      </c>
      <c r="D17" s="27" t="n"/>
      <c r="E17" s="27" t="n"/>
      <c r="F17" s="27" t="n"/>
      <c r="G17" s="26" t="str">
        <f>IF($B17="","",INDEX(tblObjectives[Lead],ROWS($B$11:$B17))&amp;"")</f>
        <v/>
      </c>
      <c r="H17" s="28" t="str">
        <f>IF($B17="","",INDEX(tblObjectives[Status],ROWS($B$11:$B17))&amp;"")</f>
        <v/>
      </c>
      <c r="I17" s="29" t="str">
        <f>IF($B17="","",IF(INDEX(tblObjectives[Target Date],ROWS($B$11:$B17))="","",INDEX(tblObjectives[Target Date],ROWS($B$11:$B17))))</f>
        <v/>
      </c>
      <c r="J17" s="26" t="str">
        <f>IF($B17="","",INDEX(tblObjectives[Milestones Complete],ROWS($B$11:$B17))&amp;" of "&amp;INDEX(tblObjectives[Milestones],ROWS($B$11:$B17)))</f>
        <v/>
      </c>
      <c r="K17" s="30" t="str">
        <f>IF($B17="","",INDEX(tblObjectives[Percent Complete],ROWS($B$11:$B17)))</f>
        <v/>
      </c>
      <c r="L17" s="31" t="str">
        <f>IF($B17="","",INDEX(tblObjectives[Overdue Milestones],ROWS($B$11:$B17)))</f>
        <v/>
      </c>
      <c r="M17" s="31" t="str">
        <f>IF($B17="","",INDEX(tblObjectives[Open High Risks],ROWS($B$11:$B17)))</f>
        <v/>
      </c>
    </row>
    <row r="18" ht="18" customHeight="1">
      <c r="B18" s="25" t="str">
        <f>IFERROR(IF(INDEX(tblObjectives[ID],ROWS($B$11:$B18))="","",INDEX(tblObjectives[ID],ROWS($B$11:$B18))),"")</f>
        <v/>
      </c>
      <c r="C18" s="26" t="str">
        <f>IF($B18="","",INDEX(tblObjectives[Objective],ROWS($B$11:$B18))&amp;"")</f>
        <v/>
      </c>
      <c r="D18" s="27" t="n"/>
      <c r="E18" s="27" t="n"/>
      <c r="F18" s="27" t="n"/>
      <c r="G18" s="26" t="str">
        <f>IF($B18="","",INDEX(tblObjectives[Lead],ROWS($B$11:$B18))&amp;"")</f>
        <v/>
      </c>
      <c r="H18" s="28" t="str">
        <f>IF($B18="","",INDEX(tblObjectives[Status],ROWS($B$11:$B18))&amp;"")</f>
        <v/>
      </c>
      <c r="I18" s="29" t="str">
        <f>IF($B18="","",IF(INDEX(tblObjectives[Target Date],ROWS($B$11:$B18))="","",INDEX(tblObjectives[Target Date],ROWS($B$11:$B18))))</f>
        <v/>
      </c>
      <c r="J18" s="26" t="str">
        <f>IF($B18="","",INDEX(tblObjectives[Milestones Complete],ROWS($B$11:$B18))&amp;" of "&amp;INDEX(tblObjectives[Milestones],ROWS($B$11:$B18)))</f>
        <v/>
      </c>
      <c r="K18" s="30" t="str">
        <f>IF($B18="","",INDEX(tblObjectives[Percent Complete],ROWS($B$11:$B18)))</f>
        <v/>
      </c>
      <c r="L18" s="31" t="str">
        <f>IF($B18="","",INDEX(tblObjectives[Overdue Milestones],ROWS($B$11:$B18)))</f>
        <v/>
      </c>
      <c r="M18" s="31" t="str">
        <f>IF($B18="","",INDEX(tblObjectives[Open High Risks],ROWS($B$11:$B18)))</f>
        <v/>
      </c>
    </row>
    <row r="19" ht="18" customHeight="1">
      <c r="B19" s="25" t="str">
        <f>IFERROR(IF(INDEX(tblObjectives[ID],ROWS($B$11:$B19))="","",INDEX(tblObjectives[ID],ROWS($B$11:$B19))),"")</f>
        <v/>
      </c>
      <c r="C19" s="26" t="str">
        <f>IF($B19="","",INDEX(tblObjectives[Objective],ROWS($B$11:$B19))&amp;"")</f>
        <v/>
      </c>
      <c r="D19" s="27" t="n"/>
      <c r="E19" s="27" t="n"/>
      <c r="F19" s="27" t="n"/>
      <c r="G19" s="26" t="str">
        <f>IF($B19="","",INDEX(tblObjectives[Lead],ROWS($B$11:$B19))&amp;"")</f>
        <v/>
      </c>
      <c r="H19" s="28" t="str">
        <f>IF($B19="","",INDEX(tblObjectives[Status],ROWS($B$11:$B19))&amp;"")</f>
        <v/>
      </c>
      <c r="I19" s="29" t="str">
        <f>IF($B19="","",IF(INDEX(tblObjectives[Target Date],ROWS($B$11:$B19))="","",INDEX(tblObjectives[Target Date],ROWS($B$11:$B19))))</f>
        <v/>
      </c>
      <c r="J19" s="26" t="str">
        <f>IF($B19="","",INDEX(tblObjectives[Milestones Complete],ROWS($B$11:$B19))&amp;" of "&amp;INDEX(tblObjectives[Milestones],ROWS($B$11:$B19)))</f>
        <v/>
      </c>
      <c r="K19" s="30" t="str">
        <f>IF($B19="","",INDEX(tblObjectives[Percent Complete],ROWS($B$11:$B19)))</f>
        <v/>
      </c>
      <c r="L19" s="31" t="str">
        <f>IF($B19="","",INDEX(tblObjectives[Overdue Milestones],ROWS($B$11:$B19)))</f>
        <v/>
      </c>
      <c r="M19" s="31" t="str">
        <f>IF($B19="","",INDEX(tblObjectives[Open High Risks],ROWS($B$11:$B19)))</f>
        <v/>
      </c>
    </row>
    <row r="20" ht="18" customHeight="1">
      <c r="B20" s="25" t="str">
        <f>IFERROR(IF(INDEX(tblObjectives[ID],ROWS($B$11:$B20))="","",INDEX(tblObjectives[ID],ROWS($B$11:$B20))),"")</f>
        <v/>
      </c>
      <c r="C20" s="26" t="str">
        <f>IF($B20="","",INDEX(tblObjectives[Objective],ROWS($B$11:$B20))&amp;"")</f>
        <v/>
      </c>
      <c r="D20" s="27" t="n"/>
      <c r="E20" s="27" t="n"/>
      <c r="F20" s="27" t="n"/>
      <c r="G20" s="26" t="str">
        <f>IF($B20="","",INDEX(tblObjectives[Lead],ROWS($B$11:$B20))&amp;"")</f>
        <v/>
      </c>
      <c r="H20" s="28" t="str">
        <f>IF($B20="","",INDEX(tblObjectives[Status],ROWS($B$11:$B20))&amp;"")</f>
        <v/>
      </c>
      <c r="I20" s="29" t="str">
        <f>IF($B20="","",IF(INDEX(tblObjectives[Target Date],ROWS($B$11:$B20))="","",INDEX(tblObjectives[Target Date],ROWS($B$11:$B20))))</f>
        <v/>
      </c>
      <c r="J20" s="26" t="str">
        <f>IF($B20="","",INDEX(tblObjectives[Milestones Complete],ROWS($B$11:$B20))&amp;" of "&amp;INDEX(tblObjectives[Milestones],ROWS($B$11:$B20)))</f>
        <v/>
      </c>
      <c r="K20" s="30" t="str">
        <f>IF($B20="","",INDEX(tblObjectives[Percent Complete],ROWS($B$11:$B20)))</f>
        <v/>
      </c>
      <c r="L20" s="31" t="str">
        <f>IF($B20="","",INDEX(tblObjectives[Overdue Milestones],ROWS($B$11:$B20)))</f>
        <v/>
      </c>
      <c r="M20" s="31" t="str">
        <f>IF($B20="","",INDEX(tblObjectives[Open High Risks],ROWS($B$11:$B20)))</f>
        <v/>
      </c>
    </row>
    <row r="21">
      <c r="B21" s="18" t="str">
        <f>IF(COUNTIFS(tblObjectives[ID],"?*")&gt;10,"Showing the first 10 objectives. See the Objectives sheet for the rest.","")</f>
        <v/>
      </c>
    </row>
    <row r="23" ht="18" customHeight="1">
      <c r="B23" s="3" t="inlineStr">
        <is>
          <t>MILESTONES BY QUARTER</t>
        </is>
      </c>
      <c r="C23" s="4" t="n"/>
      <c r="D23" s="4" t="n"/>
      <c r="E23" s="4" t="n"/>
      <c r="F23" s="4" t="n"/>
      <c r="G23" s="4" t="n"/>
      <c r="I23" s="3" t="inlineStr">
        <is>
          <t>OBJECTIVES BY STATUS</t>
        </is>
      </c>
      <c r="J23" s="4" t="n"/>
      <c r="K23" s="4" t="n"/>
      <c r="L23" s="4" t="n"/>
      <c r="M23" s="4" t="n"/>
    </row>
    <row r="24" ht="30" customHeight="1">
      <c r="B24" s="23" t="inlineStr">
        <is>
          <t>Quarter</t>
        </is>
      </c>
      <c r="C24" s="23" t="inlineStr">
        <is>
          <t>Total</t>
        </is>
      </c>
      <c r="D24" s="23" t="inlineStr">
        <is>
          <t>Complete</t>
        </is>
      </c>
      <c r="E24" s="23" t="inlineStr">
        <is>
          <t>Open, on schedule</t>
        </is>
      </c>
      <c r="F24" s="23" t="inlineStr">
        <is>
          <t>Overdue</t>
        </is>
      </c>
      <c r="G24" s="23" t="inlineStr">
        <is>
          <t>Slipped from original date</t>
        </is>
      </c>
      <c r="I24" s="23" t="inlineStr">
        <is>
          <t>Status</t>
        </is>
      </c>
      <c r="J24" s="24" t="n"/>
      <c r="K24" s="23" t="inlineStr">
        <is>
          <t>Count</t>
        </is>
      </c>
    </row>
    <row r="25">
      <c r="B25" s="32" t="inlineStr">
        <is>
          <t>Q1</t>
        </is>
      </c>
      <c r="C25" s="33">
        <f>COUNTIFS(tblMilestones[Quarter],$B25,tblMilestones[ID],"?*")</f>
        <v>0</v>
      </c>
      <c r="D25" s="33">
        <f>COUNTIFS(tblMilestones[Quarter],$B25,tblMilestones[Status],"Complete")</f>
        <v>0</v>
      </c>
      <c r="E25" s="33">
        <f>C25-D25-F25</f>
        <v>0</v>
      </c>
      <c r="F25" s="33">
        <f>COUNTIFS(tblMilestones[Quarter],$B25,tblMilestones[Schedule Flag],"Overdue")</f>
        <v>0</v>
      </c>
      <c r="G25" s="33">
        <f>SUMPRODUCT((tblMilestones[Quarter]=$B25)*(tblMilestones[Slip Days]&lt;&gt;"")*(tblMilestones[Slip Days]&gt;0))</f>
        <v>0</v>
      </c>
      <c r="I25" s="32" t="inlineStr">
        <is>
          <t>Not Started</t>
        </is>
      </c>
      <c r="J25" s="27" t="n"/>
      <c r="K25" s="33">
        <f>COUNTIFS(tblObjectives[Status],$I25)</f>
        <v>0</v>
      </c>
    </row>
    <row r="26">
      <c r="B26" s="32" t="inlineStr">
        <is>
          <t>Q2</t>
        </is>
      </c>
      <c r="C26" s="33">
        <f>COUNTIFS(tblMilestones[Quarter],$B26,tblMilestones[ID],"?*")</f>
        <v>0</v>
      </c>
      <c r="D26" s="33">
        <f>COUNTIFS(tblMilestones[Quarter],$B26,tblMilestones[Status],"Complete")</f>
        <v>0</v>
      </c>
      <c r="E26" s="33">
        <f>C26-D26-F26</f>
        <v>0</v>
      </c>
      <c r="F26" s="33">
        <f>COUNTIFS(tblMilestones[Quarter],$B26,tblMilestones[Schedule Flag],"Overdue")</f>
        <v>0</v>
      </c>
      <c r="G26" s="33">
        <f>SUMPRODUCT((tblMilestones[Quarter]=$B26)*(tblMilestones[Slip Days]&lt;&gt;"")*(tblMilestones[Slip Days]&gt;0))</f>
        <v>0</v>
      </c>
      <c r="I26" s="32" t="inlineStr">
        <is>
          <t>On Track</t>
        </is>
      </c>
      <c r="J26" s="27" t="n"/>
      <c r="K26" s="33">
        <f>COUNTIFS(tblObjectives[Status],$I26)</f>
        <v>0</v>
      </c>
    </row>
    <row r="27">
      <c r="B27" s="32" t="inlineStr">
        <is>
          <t>Q3</t>
        </is>
      </c>
      <c r="C27" s="33">
        <f>COUNTIFS(tblMilestones[Quarter],$B27,tblMilestones[ID],"?*")</f>
        <v>0</v>
      </c>
      <c r="D27" s="33">
        <f>COUNTIFS(tblMilestones[Quarter],$B27,tblMilestones[Status],"Complete")</f>
        <v>0</v>
      </c>
      <c r="E27" s="33">
        <f>C27-D27-F27</f>
        <v>0</v>
      </c>
      <c r="F27" s="33">
        <f>COUNTIFS(tblMilestones[Quarter],$B27,tblMilestones[Schedule Flag],"Overdue")</f>
        <v>0</v>
      </c>
      <c r="G27" s="33">
        <f>SUMPRODUCT((tblMilestones[Quarter]=$B27)*(tblMilestones[Slip Days]&lt;&gt;"")*(tblMilestones[Slip Days]&gt;0))</f>
        <v>0</v>
      </c>
      <c r="I27" s="32" t="inlineStr">
        <is>
          <t>At Risk</t>
        </is>
      </c>
      <c r="J27" s="27" t="n"/>
      <c r="K27" s="33">
        <f>COUNTIFS(tblObjectives[Status],$I27)</f>
        <v>0</v>
      </c>
    </row>
    <row r="28">
      <c r="B28" s="32" t="inlineStr">
        <is>
          <t>Q4</t>
        </is>
      </c>
      <c r="C28" s="33">
        <f>COUNTIFS(tblMilestones[Quarter],$B28,tblMilestones[ID],"?*")</f>
        <v>0</v>
      </c>
      <c r="D28" s="33">
        <f>COUNTIFS(tblMilestones[Quarter],$B28,tblMilestones[Status],"Complete")</f>
        <v>0</v>
      </c>
      <c r="E28" s="33">
        <f>C28-D28-F28</f>
        <v>0</v>
      </c>
      <c r="F28" s="33">
        <f>COUNTIFS(tblMilestones[Quarter],$B28,tblMilestones[Schedule Flag],"Overdue")</f>
        <v>0</v>
      </c>
      <c r="G28" s="33">
        <f>SUMPRODUCT((tblMilestones[Quarter]=$B28)*(tblMilestones[Slip Days]&lt;&gt;"")*(tblMilestones[Slip Days]&gt;0))</f>
        <v>0</v>
      </c>
      <c r="I28" s="32" t="inlineStr">
        <is>
          <t>Off Track</t>
        </is>
      </c>
      <c r="J28" s="27" t="n"/>
      <c r="K28" s="33">
        <f>COUNTIFS(tblObjectives[Status],$I28)</f>
        <v>0</v>
      </c>
    </row>
    <row r="29">
      <c r="B29" s="34" t="inlineStr">
        <is>
          <t>Total</t>
        </is>
      </c>
      <c r="C29" s="35">
        <f>SUM(C25:C28)</f>
        <v>0</v>
      </c>
      <c r="D29" s="35">
        <f>SUM(D25:D28)</f>
        <v>0</v>
      </c>
      <c r="E29" s="35">
        <f>SUM(E25:E28)</f>
        <v>0</v>
      </c>
      <c r="F29" s="35">
        <f>SUM(F25:F28)</f>
        <v>0</v>
      </c>
      <c r="G29" s="35">
        <f>SUM(G25:G28)</f>
        <v>0</v>
      </c>
      <c r="I29" s="32" t="inlineStr">
        <is>
          <t>Complete</t>
        </is>
      </c>
      <c r="J29" s="27" t="n"/>
      <c r="K29" s="33">
        <f>COUNTIFS(tblObjectives[Status],$I29)</f>
        <v>0</v>
      </c>
    </row>
    <row r="30">
      <c r="B30" s="18" t="str">
        <f>"Completed after their due date: "&amp;COUNTIFS(tblMilestones[Schedule Flag],"Completed Late")&amp;" of "&amp;COUNTIFS(tblMilestones[Status],"Complete")&amp;" completed milestones."</f>
        <v>Completed after their due date: 0 of 0 completed milestones.</v>
      </c>
      <c r="I30" s="32" t="inlineStr">
        <is>
          <t>Deferred</t>
        </is>
      </c>
      <c r="J30" s="27" t="n"/>
      <c r="K30" s="33">
        <f>COUNTIFS(tblObjectives[Status],$I30)</f>
        <v>0</v>
      </c>
    </row>
    <row r="31">
      <c r="I31" s="5" t="inlineStr">
        <is>
          <t>Total</t>
        </is>
      </c>
      <c r="K31" s="36">
        <f>SUM(K25:K30)</f>
        <v>0</v>
      </c>
    </row>
    <row r="32">
      <c r="I32" s="37" t="str">
        <f>IF(K31&lt;&gt;COUNTIFS(tblObjectives[ID],"?*"),"Some objectives have no status.","")</f>
        <v/>
      </c>
    </row>
    <row r="47" ht="18" customHeight="1">
      <c r="B47" s="3" t="inlineStr">
        <is>
          <t>RELATIONSHIPS: CONTACT STATUS BY TIER</t>
        </is>
      </c>
      <c r="C47" s="4" t="n"/>
      <c r="D47" s="4" t="n"/>
      <c r="E47" s="4" t="n"/>
      <c r="F47" s="4" t="n"/>
      <c r="G47" s="4" t="n"/>
      <c r="H47" s="4" t="n"/>
      <c r="J47" s="3" t="inlineStr">
        <is>
          <t>POSTURE, TIERS 1 AND 2</t>
        </is>
      </c>
      <c r="K47" s="4" t="n"/>
      <c r="L47" s="4" t="n"/>
      <c r="M47" s="4" t="n"/>
    </row>
    <row r="48" ht="28" customHeight="1">
      <c r="B48" s="23" t="inlineStr">
        <is>
          <t>Tier</t>
        </is>
      </c>
      <c r="C48" s="24" t="n"/>
      <c r="D48" s="23" t="inlineStr">
        <is>
          <t>Current</t>
        </is>
      </c>
      <c r="E48" s="23" t="inlineStr">
        <is>
          <t>Due soon</t>
        </is>
      </c>
      <c r="F48" s="23" t="inlineStr">
        <is>
          <t>Overdue</t>
        </is>
      </c>
      <c r="G48" s="23" t="inlineStr">
        <is>
          <t>No contact logged</t>
        </is>
      </c>
      <c r="H48" s="23" t="inlineStr">
        <is>
          <t>Total</t>
        </is>
      </c>
      <c r="J48" s="23" t="inlineStr">
        <is>
          <t>Posture</t>
        </is>
      </c>
      <c r="K48" s="24" t="n"/>
      <c r="L48" s="23" t="inlineStr">
        <is>
          <t>Count</t>
        </is>
      </c>
    </row>
    <row r="49">
      <c r="B49" s="32" t="inlineStr">
        <is>
          <t>Tier 1 Strategic</t>
        </is>
      </c>
      <c r="C49" s="27" t="n"/>
      <c r="D49" s="33">
        <f>COUNTIFS(tblRelationships[Tier],$B49,tblRelationships[Contact Status],"Current")</f>
        <v>0</v>
      </c>
      <c r="E49" s="33">
        <f>COUNTIFS(tblRelationships[Tier],$B49,tblRelationships[Contact Status],"Due Soon")</f>
        <v>0</v>
      </c>
      <c r="F49" s="33">
        <f>COUNTIFS(tblRelationships[Tier],$B49,tblRelationships[Contact Status],"Overdue")</f>
        <v>0</v>
      </c>
      <c r="G49" s="33">
        <f>COUNTIFS(tblRelationships[Tier],$B49,tblRelationships[Contact Status],"No Contact Logged")</f>
        <v>0</v>
      </c>
      <c r="H49" s="38">
        <f>COUNTIFS(tblRelationships[Tier],$B49,tblRelationships[ID],"?*")</f>
        <v>0</v>
      </c>
      <c r="J49" s="32" t="inlineStr">
        <is>
          <t>Aligned</t>
        </is>
      </c>
      <c r="K49" s="27" t="n"/>
      <c r="L49" s="33">
        <f>COUNTIFS(tblRelationships[Tier],"Tier 1*",tblRelationships[Posture],$J49)+COUNTIFS(tblRelationships[Tier],"Tier 2*",tblRelationships[Posture],$J49)</f>
        <v>0</v>
      </c>
    </row>
    <row r="50">
      <c r="B50" s="32" t="inlineStr">
        <is>
          <t>Tier 2 Priority</t>
        </is>
      </c>
      <c r="C50" s="27" t="n"/>
      <c r="D50" s="33">
        <f>COUNTIFS(tblRelationships[Tier],$B50,tblRelationships[Contact Status],"Current")</f>
        <v>0</v>
      </c>
      <c r="E50" s="33">
        <f>COUNTIFS(tblRelationships[Tier],$B50,tblRelationships[Contact Status],"Due Soon")</f>
        <v>0</v>
      </c>
      <c r="F50" s="33">
        <f>COUNTIFS(tblRelationships[Tier],$B50,tblRelationships[Contact Status],"Overdue")</f>
        <v>0</v>
      </c>
      <c r="G50" s="33">
        <f>COUNTIFS(tblRelationships[Tier],$B50,tblRelationships[Contact Status],"No Contact Logged")</f>
        <v>0</v>
      </c>
      <c r="H50" s="38">
        <f>COUNTIFS(tblRelationships[Tier],$B50,tblRelationships[ID],"?*")</f>
        <v>0</v>
      </c>
      <c r="J50" s="32" t="inlineStr">
        <is>
          <t>Mixed</t>
        </is>
      </c>
      <c r="K50" s="27" t="n"/>
      <c r="L50" s="33">
        <f>COUNTIFS(tblRelationships[Tier],"Tier 1*",tblRelationships[Posture],$J50)+COUNTIFS(tblRelationships[Tier],"Tier 2*",tblRelationships[Posture],$J50)</f>
        <v>0</v>
      </c>
    </row>
    <row r="51">
      <c r="B51" s="32" t="inlineStr">
        <is>
          <t>Tier 3 Maintain</t>
        </is>
      </c>
      <c r="C51" s="27" t="n"/>
      <c r="D51" s="33">
        <f>COUNTIFS(tblRelationships[Tier],$B51,tblRelationships[Contact Status],"Current")</f>
        <v>0</v>
      </c>
      <c r="E51" s="33">
        <f>COUNTIFS(tblRelationships[Tier],$B51,tblRelationships[Contact Status],"Due Soon")</f>
        <v>0</v>
      </c>
      <c r="F51" s="33">
        <f>COUNTIFS(tblRelationships[Tier],$B51,tblRelationships[Contact Status],"Overdue")</f>
        <v>0</v>
      </c>
      <c r="G51" s="33">
        <f>COUNTIFS(tblRelationships[Tier],$B51,tblRelationships[Contact Status],"No Contact Logged")</f>
        <v>0</v>
      </c>
      <c r="H51" s="38">
        <f>COUNTIFS(tblRelationships[Tier],$B51,tblRelationships[ID],"?*")</f>
        <v>0</v>
      </c>
      <c r="J51" s="32" t="inlineStr">
        <is>
          <t>Divergent</t>
        </is>
      </c>
      <c r="K51" s="27" t="n"/>
      <c r="L51" s="33">
        <f>COUNTIFS(tblRelationships[Tier],"Tier 1*",tblRelationships[Posture],$J51)+COUNTIFS(tblRelationships[Tier],"Tier 2*",tblRelationships[Posture],$J51)</f>
        <v>0</v>
      </c>
    </row>
    <row r="52">
      <c r="B52" s="32" t="inlineStr">
        <is>
          <t>Tier 4 Monitor</t>
        </is>
      </c>
      <c r="C52" s="27" t="n"/>
      <c r="D52" s="33">
        <f>COUNTIFS(tblRelationships[Tier],$B52,tblRelationships[Contact Status],"Current")</f>
        <v>0</v>
      </c>
      <c r="E52" s="33">
        <f>COUNTIFS(tblRelationships[Tier],$B52,tblRelationships[Contact Status],"Due Soon")</f>
        <v>0</v>
      </c>
      <c r="F52" s="33">
        <f>COUNTIFS(tblRelationships[Tier],$B52,tblRelationships[Contact Status],"Overdue")</f>
        <v>0</v>
      </c>
      <c r="G52" s="33">
        <f>COUNTIFS(tblRelationships[Tier],$B52,tblRelationships[Contact Status],"No Contact Logged")</f>
        <v>0</v>
      </c>
      <c r="H52" s="38">
        <f>COUNTIFS(tblRelationships[Tier],$B52,tblRelationships[ID],"?*")</f>
        <v>0</v>
      </c>
      <c r="J52" s="32" t="inlineStr">
        <is>
          <t>Unknown</t>
        </is>
      </c>
      <c r="K52" s="27" t="n"/>
      <c r="L52" s="33">
        <f>COUNTIFS(tblRelationships[Tier],"Tier 1*",tblRelationships[Posture],$J52)+COUNTIFS(tblRelationships[Tier],"Tier 2*",tblRelationships[Posture],$J52)</f>
        <v>0</v>
      </c>
    </row>
    <row r="53">
      <c r="B53" s="34" t="inlineStr">
        <is>
          <t>Total</t>
        </is>
      </c>
      <c r="C53" s="39" t="n"/>
      <c r="D53" s="35">
        <f>SUM(D49:D52)</f>
        <v>0</v>
      </c>
      <c r="E53" s="35">
        <f>SUM(E49:E52)</f>
        <v>0</v>
      </c>
      <c r="F53" s="35">
        <f>SUM(F49:F52)</f>
        <v>0</v>
      </c>
      <c r="G53" s="35">
        <f>SUM(G49:G52)</f>
        <v>0</v>
      </c>
      <c r="H53" s="35">
        <f>SUM(H49:H52)</f>
        <v>0</v>
      </c>
    </row>
    <row r="54">
      <c r="B54" s="18" t="str">
        <f>"As Needed relationships are not counted in the status columns: "&amp;COUNTIFS(tblRelationships[Contact Status],"As Needed")&amp;". Strained relationships: "&amp;COUNTIFS(tblRelationships[Relationship Health],"Strained")&amp;"."</f>
        <v>As Needed relationships are not counted in the status columns: 0. Strained relationships: 0.</v>
      </c>
    </row>
    <row r="57" ht="18" customHeight="1">
      <c r="B57" s="3" t="inlineStr">
        <is>
          <t>LEGISLATIVE AND ADMINISTRATIVE PRIORITIES</t>
        </is>
      </c>
      <c r="C57" s="4" t="n"/>
      <c r="D57" s="4" t="n"/>
      <c r="E57" s="4" t="n"/>
      <c r="F57" s="4" t="n"/>
      <c r="G57" s="4" t="n"/>
      <c r="H57" s="4" t="n"/>
      <c r="I57" s="4" t="n"/>
      <c r="J57" s="4" t="n"/>
      <c r="K57" s="4" t="n"/>
      <c r="L57" s="4" t="n"/>
      <c r="M57" s="4" t="n"/>
    </row>
    <row r="58" ht="30" customHeight="1">
      <c r="B58" s="23" t="inlineStr">
        <is>
          <t>Track</t>
        </is>
      </c>
      <c r="C58" s="24" t="n"/>
      <c r="D58" s="23" t="inlineStr">
        <is>
          <t>Open items</t>
        </is>
      </c>
      <c r="E58" s="23" t="inlineStr">
        <is>
          <t>Clearance needed</t>
        </is>
      </c>
      <c r="F58" s="23" t="inlineStr">
        <is>
          <t>Key date within 14 days</t>
        </is>
      </c>
      <c r="H58" s="23" t="inlineStr">
        <is>
          <t>Next five key dates</t>
        </is>
      </c>
      <c r="I58" s="23" t="inlineStr">
        <is>
          <t>Matter</t>
        </is>
      </c>
      <c r="J58" s="24" t="n"/>
      <c r="K58" s="24" t="n"/>
      <c r="L58" s="23" t="inlineStr">
        <is>
          <t>Date</t>
        </is>
      </c>
      <c r="M58" s="23" t="inlineStr">
        <is>
          <t>Days</t>
        </is>
      </c>
    </row>
    <row r="59" ht="18" customHeight="1">
      <c r="B59" s="32" t="inlineStr">
        <is>
          <t>Legislative</t>
        </is>
      </c>
      <c r="C59" s="27" t="n"/>
      <c r="D59" s="33">
        <f>COUNTIFS(tblPriorities[Track],$B59,tblPriorities[Open],1)</f>
        <v>0</v>
      </c>
      <c r="E59" s="33">
        <f>COUNTIFS(tblPriorities[Track],$B59,tblPriorities[Attention],"Clearance Needed")</f>
        <v>0</v>
      </c>
      <c r="F59" s="33">
        <f>COUNTIFS(tblPriorities[Track],$B59,tblPriorities[Attention],"Key Date Within 14 Days")</f>
        <v>0</v>
      </c>
      <c r="H59" s="25" t="str">
        <f>IFERROR(INDEX(tblPriorities[ID],MATCH(1,tblPriorities[Upcoming Rank],0)),"")</f>
        <v/>
      </c>
      <c r="I59" s="26" t="str">
        <f>IFERROR(INDEX(tblPriorities[Measure or Matter],MATCH(1,tblPriorities[Upcoming Rank],0))&amp;"","")</f>
        <v/>
      </c>
      <c r="J59" s="27" t="n"/>
      <c r="K59" s="27" t="n"/>
      <c r="L59" s="29" t="str">
        <f>IFERROR(IF(INDEX(tblPriorities[Next Key Date],MATCH(1,tblPriorities[Upcoming Rank],0))="","",INDEX(tblPriorities[Next Key Date],MATCH(1,tblPriorities[Upcoming Rank],0))),"")</f>
        <v/>
      </c>
      <c r="M59" s="31" t="str">
        <f>IFERROR(INDEX(tblPriorities[Days to Key Date],MATCH(1,tblPriorities[Upcoming Rank],0)),"")</f>
        <v/>
      </c>
    </row>
    <row r="60" ht="18" customHeight="1">
      <c r="B60" s="32" t="inlineStr">
        <is>
          <t>Administrative</t>
        </is>
      </c>
      <c r="C60" s="27" t="n"/>
      <c r="D60" s="33">
        <f>COUNTIFS(tblPriorities[Track],$B60,tblPriorities[Open],1)</f>
        <v>0</v>
      </c>
      <c r="E60" s="33">
        <f>COUNTIFS(tblPriorities[Track],$B60,tblPriorities[Attention],"Clearance Needed")</f>
        <v>0</v>
      </c>
      <c r="F60" s="33">
        <f>COUNTIFS(tblPriorities[Track],$B60,tblPriorities[Attention],"Key Date Within 14 Days")</f>
        <v>0</v>
      </c>
      <c r="H60" s="25" t="str">
        <f>IFERROR(INDEX(tblPriorities[ID],MATCH(2,tblPriorities[Upcoming Rank],0)),"")</f>
        <v/>
      </c>
      <c r="I60" s="26" t="str">
        <f>IFERROR(INDEX(tblPriorities[Measure or Matter],MATCH(2,tblPriorities[Upcoming Rank],0))&amp;"","")</f>
        <v/>
      </c>
      <c r="J60" s="27" t="n"/>
      <c r="K60" s="27" t="n"/>
      <c r="L60" s="29" t="str">
        <f>IFERROR(IF(INDEX(tblPriorities[Next Key Date],MATCH(2,tblPriorities[Upcoming Rank],0))="","",INDEX(tblPriorities[Next Key Date],MATCH(2,tblPriorities[Upcoming Rank],0))),"")</f>
        <v/>
      </c>
      <c r="M60" s="31" t="str">
        <f>IFERROR(INDEX(tblPriorities[Days to Key Date],MATCH(2,tblPriorities[Upcoming Rank],0)),"")</f>
        <v/>
      </c>
    </row>
    <row r="61" ht="18" customHeight="1">
      <c r="B61" s="34" t="inlineStr">
        <is>
          <t>Total</t>
        </is>
      </c>
      <c r="C61" s="39" t="n"/>
      <c r="D61" s="35">
        <f>SUM(D59:D60)</f>
        <v>0</v>
      </c>
      <c r="E61" s="35">
        <f>SUM(E59:E60)</f>
        <v>0</v>
      </c>
      <c r="F61" s="35">
        <f>SUM(F59:F60)</f>
        <v>0</v>
      </c>
      <c r="H61" s="25" t="str">
        <f>IFERROR(INDEX(tblPriorities[ID],MATCH(3,tblPriorities[Upcoming Rank],0)),"")</f>
        <v/>
      </c>
      <c r="I61" s="26" t="str">
        <f>IFERROR(INDEX(tblPriorities[Measure or Matter],MATCH(3,tblPriorities[Upcoming Rank],0))&amp;"","")</f>
        <v/>
      </c>
      <c r="J61" s="27" t="n"/>
      <c r="K61" s="27" t="n"/>
      <c r="L61" s="29" t="str">
        <f>IFERROR(IF(INDEX(tblPriorities[Next Key Date],MATCH(3,tblPriorities[Upcoming Rank],0))="","",INDEX(tblPriorities[Next Key Date],MATCH(3,tblPriorities[Upcoming Rank],0))),"")</f>
        <v/>
      </c>
      <c r="M61" s="31" t="str">
        <f>IFERROR(INDEX(tblPriorities[Days to Key Date],MATCH(3,tblPriorities[Upcoming Rank],0)),"")</f>
        <v/>
      </c>
    </row>
    <row r="62" ht="18" customHeight="1">
      <c r="B62" s="40" t="str">
        <f>"Positions by status: Support "&amp;COUNTIFS(tblPriorities[Our Position],"Support",tblPriorities[Open],1)&amp;", Oppose "&amp;COUNTIFS(tblPriorities[Our Position],"Oppose",tblPriorities[Open],1)&amp;", Amend "&amp;COUNTIFS(tblPriorities[Our Position],"Amend",tblPriorities[Open],1)&amp;", Seek "&amp;COUNTIFS(tblPriorities[Our Position],"Seek",tblPriorities[Open],1)&amp;", Monitor "&amp;COUNTIFS(tblPriorities[Our Position],"Monitor",tblPriorities[Open],1)&amp;", Undecided "&amp;COUNTIFS(tblPriorities[Our Position],"Undecided",tblPriorities[Open],1)</f>
        <v>Positions by status: Support 0, Oppose 0, Amend 0, Seek 0, Monitor 0, Undecided 0</v>
      </c>
      <c r="H62" s="25" t="str">
        <f>IFERROR(INDEX(tblPriorities[ID],MATCH(4,tblPriorities[Upcoming Rank],0)),"")</f>
        <v/>
      </c>
      <c r="I62" s="26" t="str">
        <f>IFERROR(INDEX(tblPriorities[Measure or Matter],MATCH(4,tblPriorities[Upcoming Rank],0))&amp;"","")</f>
        <v/>
      </c>
      <c r="J62" s="27" t="n"/>
      <c r="K62" s="27" t="n"/>
      <c r="L62" s="29" t="str">
        <f>IFERROR(IF(INDEX(tblPriorities[Next Key Date],MATCH(4,tblPriorities[Upcoming Rank],0))="","",INDEX(tblPriorities[Next Key Date],MATCH(4,tblPriorities[Upcoming Rank],0))),"")</f>
        <v/>
      </c>
      <c r="M62" s="31" t="str">
        <f>IFERROR(INDEX(tblPriorities[Days to Key Date],MATCH(4,tblPriorities[Upcoming Rank],0)),"")</f>
        <v/>
      </c>
    </row>
    <row r="63" ht="18" customHeight="1">
      <c r="H63" s="25" t="str">
        <f>IFERROR(INDEX(tblPriorities[ID],MATCH(5,tblPriorities[Upcoming Rank],0)),"")</f>
        <v/>
      </c>
      <c r="I63" s="26" t="str">
        <f>IFERROR(INDEX(tblPriorities[Measure or Matter],MATCH(5,tblPriorities[Upcoming Rank],0))&amp;"","")</f>
        <v/>
      </c>
      <c r="J63" s="27" t="n"/>
      <c r="K63" s="27" t="n"/>
      <c r="L63" s="29" t="str">
        <f>IFERROR(IF(INDEX(tblPriorities[Next Key Date],MATCH(5,tblPriorities[Upcoming Rank],0))="","",INDEX(tblPriorities[Next Key Date],MATCH(5,tblPriorities[Upcoming Rank],0))),"")</f>
        <v/>
      </c>
      <c r="M63" s="31" t="str">
        <f>IFERROR(INDEX(tblPriorities[Days to Key Date],MATCH(5,tblPriorities[Upcoming Rank],0)),"")</f>
        <v/>
      </c>
    </row>
    <row r="64"/>
    <row r="67" ht="18" customHeight="1">
      <c r="B67" s="3" t="inlineStr">
        <is>
          <t>RISKS (RIGHT: TOP FIVE OPEN RISKS BY EXPOSURE)</t>
        </is>
      </c>
      <c r="C67" s="4" t="n"/>
      <c r="D67" s="4" t="n"/>
      <c r="E67" s="4" t="n"/>
      <c r="F67" s="4" t="n"/>
      <c r="G67" s="4" t="n"/>
      <c r="H67" s="4" t="n"/>
      <c r="I67" s="4" t="n"/>
      <c r="J67" s="4" t="n"/>
      <c r="K67" s="4" t="n"/>
      <c r="L67" s="4" t="n"/>
      <c r="M67" s="4" t="n"/>
    </row>
    <row r="68" ht="28" customHeight="1">
      <c r="B68" s="23" t="inlineStr">
        <is>
          <t>Open risks by rating</t>
        </is>
      </c>
      <c r="C68" s="24" t="n"/>
      <c r="D68" s="23" t="inlineStr">
        <is>
          <t>Count</t>
        </is>
      </c>
      <c r="F68" s="23" t="inlineStr">
        <is>
          <t>ID</t>
        </is>
      </c>
      <c r="G68" s="23" t="inlineStr">
        <is>
          <t>Risk</t>
        </is>
      </c>
      <c r="H68" s="24" t="n"/>
      <c r="I68" s="24" t="n"/>
      <c r="J68" s="24" t="n"/>
      <c r="K68" s="23" t="inlineStr">
        <is>
          <t>Rating</t>
        </is>
      </c>
      <c r="L68" s="23" t="inlineStr">
        <is>
          <t>Owner</t>
        </is>
      </c>
      <c r="M68" s="23" t="inlineStr">
        <is>
          <t>Status</t>
        </is>
      </c>
    </row>
    <row r="69" ht="18" customHeight="1">
      <c r="B69" s="25" t="inlineStr">
        <is>
          <t>High</t>
        </is>
      </c>
      <c r="C69" s="27" t="n"/>
      <c r="D69" s="31">
        <f>COUNTIFS(tblRisks[Rating],$B69,tblRisks[Status],"&lt;&gt;Closed")</f>
        <v>0</v>
      </c>
      <c r="F69" s="25" t="str">
        <f>IFERROR(INDEX(tblRisks[ID],MATCH(1,tblRisks[Risk Rank],0)),"")</f>
        <v/>
      </c>
      <c r="G69" s="41" t="str">
        <f>IFERROR(INDEX(tblRisks[Risk Statement],MATCH(1,tblRisks[Risk Rank],0))&amp;"","")</f>
        <v/>
      </c>
      <c r="H69" s="27" t="n"/>
      <c r="I69" s="27" t="n"/>
      <c r="J69" s="27" t="n"/>
      <c r="K69" s="28" t="str">
        <f>IFERROR(INDEX(tblRisks[Rating],MATCH(1,tblRisks[Risk Rank],0))&amp;"","")</f>
        <v/>
      </c>
      <c r="L69" s="26" t="str">
        <f>IFERROR(INDEX(tblRisks[Owner],MATCH(1,tblRisks[Risk Rank],0))&amp;"","")</f>
        <v/>
      </c>
      <c r="M69" s="26" t="str">
        <f>IFERROR(INDEX(tblRisks[Status],MATCH(1,tblRisks[Risk Rank],0))&amp;"","")</f>
        <v/>
      </c>
    </row>
    <row r="70" ht="18" customHeight="1">
      <c r="B70" s="25" t="inlineStr">
        <is>
          <t>Moderate</t>
        </is>
      </c>
      <c r="C70" s="27" t="n"/>
      <c r="D70" s="31">
        <f>COUNTIFS(tblRisks[Rating],$B70,tblRisks[Status],"&lt;&gt;Closed")</f>
        <v>0</v>
      </c>
      <c r="F70" s="25" t="str">
        <f>IFERROR(INDEX(tblRisks[ID],MATCH(2,tblRisks[Risk Rank],0)),"")</f>
        <v/>
      </c>
      <c r="G70" s="41" t="str">
        <f>IFERROR(INDEX(tblRisks[Risk Statement],MATCH(2,tblRisks[Risk Rank],0))&amp;"","")</f>
        <v/>
      </c>
      <c r="H70" s="27" t="n"/>
      <c r="I70" s="27" t="n"/>
      <c r="J70" s="27" t="n"/>
      <c r="K70" s="28" t="str">
        <f>IFERROR(INDEX(tblRisks[Rating],MATCH(2,tblRisks[Risk Rank],0))&amp;"","")</f>
        <v/>
      </c>
      <c r="L70" s="26" t="str">
        <f>IFERROR(INDEX(tblRisks[Owner],MATCH(2,tblRisks[Risk Rank],0))&amp;"","")</f>
        <v/>
      </c>
      <c r="M70" s="26" t="str">
        <f>IFERROR(INDEX(tblRisks[Status],MATCH(2,tblRisks[Risk Rank],0))&amp;"","")</f>
        <v/>
      </c>
    </row>
    <row r="71" ht="18" customHeight="1">
      <c r="B71" s="25" t="inlineStr">
        <is>
          <t>Low</t>
        </is>
      </c>
      <c r="C71" s="27" t="n"/>
      <c r="D71" s="31">
        <f>COUNTIFS(tblRisks[Rating],$B71,tblRisks[Status],"&lt;&gt;Closed")</f>
        <v>0</v>
      </c>
      <c r="F71" s="25" t="str">
        <f>IFERROR(INDEX(tblRisks[ID],MATCH(3,tblRisks[Risk Rank],0)),"")</f>
        <v/>
      </c>
      <c r="G71" s="41" t="str">
        <f>IFERROR(INDEX(tblRisks[Risk Statement],MATCH(3,tblRisks[Risk Rank],0))&amp;"","")</f>
        <v/>
      </c>
      <c r="H71" s="27" t="n"/>
      <c r="I71" s="27" t="n"/>
      <c r="J71" s="27" t="n"/>
      <c r="K71" s="28" t="str">
        <f>IFERROR(INDEX(tblRisks[Rating],MATCH(3,tblRisks[Risk Rank],0))&amp;"","")</f>
        <v/>
      </c>
      <c r="L71" s="26" t="str">
        <f>IFERROR(INDEX(tblRisks[Owner],MATCH(3,tblRisks[Risk Rank],0))&amp;"","")</f>
        <v/>
      </c>
      <c r="M71" s="26" t="str">
        <f>IFERROR(INDEX(tblRisks[Status],MATCH(3,tblRisks[Risk Rank],0))&amp;"","")</f>
        <v/>
      </c>
    </row>
    <row r="72" ht="18" customHeight="1">
      <c r="B72" s="42" t="inlineStr">
        <is>
          <t>Review overdue or none</t>
        </is>
      </c>
      <c r="D72" s="43">
        <f>COUNTIFS(tblRisks[Review Flag],"Review Overdue")+COUNTIFS(tblRisks[Review Flag],"Never Reviewed")</f>
        <v>0</v>
      </c>
      <c r="F72" s="25" t="str">
        <f>IFERROR(INDEX(tblRisks[ID],MATCH(4,tblRisks[Risk Rank],0)),"")</f>
        <v/>
      </c>
      <c r="G72" s="41" t="str">
        <f>IFERROR(INDEX(tblRisks[Risk Statement],MATCH(4,tblRisks[Risk Rank],0))&amp;"","")</f>
        <v/>
      </c>
      <c r="H72" s="27" t="n"/>
      <c r="I72" s="27" t="n"/>
      <c r="J72" s="27" t="n"/>
      <c r="K72" s="28" t="str">
        <f>IFERROR(INDEX(tblRisks[Rating],MATCH(4,tblRisks[Risk Rank],0))&amp;"","")</f>
        <v/>
      </c>
      <c r="L72" s="26" t="str">
        <f>IFERROR(INDEX(tblRisks[Owner],MATCH(4,tblRisks[Risk Rank],0))&amp;"","")</f>
        <v/>
      </c>
      <c r="M72" s="26" t="str">
        <f>IFERROR(INDEX(tblRisks[Status],MATCH(4,tblRisks[Risk Rank],0))&amp;"","")</f>
        <v/>
      </c>
    </row>
    <row r="73" ht="18" customHeight="1">
      <c r="B73" s="5" t="inlineStr">
        <is>
          <t>Escalated risks</t>
        </is>
      </c>
      <c r="D73" s="43">
        <f>COUNTIFS(tblRisks[Status],"Escalated")</f>
        <v>0</v>
      </c>
      <c r="F73" s="25" t="str">
        <f>IFERROR(INDEX(tblRisks[ID],MATCH(5,tblRisks[Risk Rank],0)),"")</f>
        <v/>
      </c>
      <c r="G73" s="41" t="str">
        <f>IFERROR(INDEX(tblRisks[Risk Statement],MATCH(5,tblRisks[Risk Rank],0))&amp;"","")</f>
        <v/>
      </c>
      <c r="H73" s="27" t="n"/>
      <c r="I73" s="27" t="n"/>
      <c r="J73" s="27" t="n"/>
      <c r="K73" s="28" t="str">
        <f>IFERROR(INDEX(tblRisks[Rating],MATCH(5,tblRisks[Risk Rank],0))&amp;"","")</f>
        <v/>
      </c>
      <c r="L73" s="26" t="str">
        <f>IFERROR(INDEX(tblRisks[Owner],MATCH(5,tblRisks[Risk Rank],0))&amp;"","")</f>
        <v/>
      </c>
      <c r="M73" s="26" t="str">
        <f>IFERROR(INDEX(tblRisks[Status],MATCH(5,tblRisks[Risk Rank],0))&amp;"","")</f>
        <v/>
      </c>
    </row>
    <row r="76" ht="18" customHeight="1">
      <c r="B76" s="3" t="inlineStr">
        <is>
          <t>NEXT FIVE OPEN MILESTONES (OVERDUE FIRST)</t>
        </is>
      </c>
      <c r="C76" s="4" t="n"/>
      <c r="D76" s="4" t="n"/>
      <c r="E76" s="4" t="n"/>
      <c r="F76" s="4" t="n"/>
      <c r="G76" s="4" t="n"/>
      <c r="H76" s="4" t="n"/>
      <c r="I76" s="4" t="n"/>
      <c r="J76" s="4" t="n"/>
      <c r="K76" s="4" t="n"/>
      <c r="L76" s="4" t="n"/>
      <c r="M76" s="4" t="n"/>
    </row>
    <row r="77" ht="28" customHeight="1">
      <c r="B77" s="23" t="inlineStr">
        <is>
          <t>ID</t>
        </is>
      </c>
      <c r="C77" s="23" t="inlineStr">
        <is>
          <t>Milestone</t>
        </is>
      </c>
      <c r="D77" s="24" t="n"/>
      <c r="E77" s="24" t="n"/>
      <c r="F77" s="24" t="n"/>
      <c r="G77" s="23" t="inlineStr">
        <is>
          <t>Objective</t>
        </is>
      </c>
      <c r="H77" s="23" t="inlineStr">
        <is>
          <t>Owner</t>
        </is>
      </c>
      <c r="I77" s="24" t="n"/>
      <c r="J77" s="23" t="inlineStr">
        <is>
          <t>Due</t>
        </is>
      </c>
      <c r="K77" s="23" t="inlineStr">
        <is>
          <t>Schedule flag</t>
        </is>
      </c>
      <c r="L77" s="24" t="n"/>
      <c r="M77" s="23" t="inlineStr">
        <is>
          <t>Critical path</t>
        </is>
      </c>
    </row>
    <row r="78" ht="18" customHeight="1">
      <c r="B78" s="25" t="str">
        <f>IFERROR(INDEX(tblMilestones[ID],MATCH(1,tblMilestones[Open Rank],0)),"")</f>
        <v/>
      </c>
      <c r="C78" s="26" t="str">
        <f>IFERROR(INDEX(tblMilestones[Milestone],MATCH(1,tblMilestones[Open Rank],0))&amp;"","")</f>
        <v/>
      </c>
      <c r="D78" s="27" t="n"/>
      <c r="E78" s="27" t="n"/>
      <c r="F78" s="27" t="n"/>
      <c r="G78" s="26" t="str">
        <f>IFERROR(INDEX(tblMilestones[Objective ID],MATCH(1,tblMilestones[Open Rank],0))&amp;"","")</f>
        <v/>
      </c>
      <c r="H78" s="26" t="str">
        <f>IFERROR(INDEX(tblMilestones[Owner],MATCH(1,tblMilestones[Open Rank],0))&amp;"","")</f>
        <v/>
      </c>
      <c r="I78" s="27" t="n"/>
      <c r="J78" s="29" t="str">
        <f>IFERROR(IF(INDEX(tblMilestones[Effective Due],MATCH(1,tblMilestones[Open Rank],0))="","",INDEX(tblMilestones[Effective Due],MATCH(1,tblMilestones[Open Rank],0))),"")</f>
        <v/>
      </c>
      <c r="K78" s="28" t="str">
        <f>IFERROR(INDEX(tblMilestones[Schedule Flag],MATCH(1,tblMilestones[Open Rank],0))&amp;"","")</f>
        <v/>
      </c>
      <c r="L78" s="27" t="n"/>
      <c r="M78" s="26" t="str">
        <f>IFERROR(INDEX(tblMilestones[Critical Path],MATCH(1,tblMilestones[Open Rank],0))&amp;"","")</f>
        <v/>
      </c>
    </row>
    <row r="79" ht="18" customHeight="1">
      <c r="B79" s="25" t="str">
        <f>IFERROR(INDEX(tblMilestones[ID],MATCH(2,tblMilestones[Open Rank],0)),"")</f>
        <v/>
      </c>
      <c r="C79" s="26" t="str">
        <f>IFERROR(INDEX(tblMilestones[Milestone],MATCH(2,tblMilestones[Open Rank],0))&amp;"","")</f>
        <v/>
      </c>
      <c r="D79" s="27" t="n"/>
      <c r="E79" s="27" t="n"/>
      <c r="F79" s="27" t="n"/>
      <c r="G79" s="26" t="str">
        <f>IFERROR(INDEX(tblMilestones[Objective ID],MATCH(2,tblMilestones[Open Rank],0))&amp;"","")</f>
        <v/>
      </c>
      <c r="H79" s="26" t="str">
        <f>IFERROR(INDEX(tblMilestones[Owner],MATCH(2,tblMilestones[Open Rank],0))&amp;"","")</f>
        <v/>
      </c>
      <c r="I79" s="27" t="n"/>
      <c r="J79" s="29" t="str">
        <f>IFERROR(IF(INDEX(tblMilestones[Effective Due],MATCH(2,tblMilestones[Open Rank],0))="","",INDEX(tblMilestones[Effective Due],MATCH(2,tblMilestones[Open Rank],0))),"")</f>
        <v/>
      </c>
      <c r="K79" s="28" t="str">
        <f>IFERROR(INDEX(tblMilestones[Schedule Flag],MATCH(2,tblMilestones[Open Rank],0))&amp;"","")</f>
        <v/>
      </c>
      <c r="L79" s="27" t="n"/>
      <c r="M79" s="26" t="str">
        <f>IFERROR(INDEX(tblMilestones[Critical Path],MATCH(2,tblMilestones[Open Rank],0))&amp;"","")</f>
        <v/>
      </c>
    </row>
    <row r="80" ht="18" customHeight="1">
      <c r="B80" s="25" t="str">
        <f>IFERROR(INDEX(tblMilestones[ID],MATCH(3,tblMilestones[Open Rank],0)),"")</f>
        <v/>
      </c>
      <c r="C80" s="26" t="str">
        <f>IFERROR(INDEX(tblMilestones[Milestone],MATCH(3,tblMilestones[Open Rank],0))&amp;"","")</f>
        <v/>
      </c>
      <c r="D80" s="27" t="n"/>
      <c r="E80" s="27" t="n"/>
      <c r="F80" s="27" t="n"/>
      <c r="G80" s="26" t="str">
        <f>IFERROR(INDEX(tblMilestones[Objective ID],MATCH(3,tblMilestones[Open Rank],0))&amp;"","")</f>
        <v/>
      </c>
      <c r="H80" s="26" t="str">
        <f>IFERROR(INDEX(tblMilestones[Owner],MATCH(3,tblMilestones[Open Rank],0))&amp;"","")</f>
        <v/>
      </c>
      <c r="I80" s="27" t="n"/>
      <c r="J80" s="29" t="str">
        <f>IFERROR(IF(INDEX(tblMilestones[Effective Due],MATCH(3,tblMilestones[Open Rank],0))="","",INDEX(tblMilestones[Effective Due],MATCH(3,tblMilestones[Open Rank],0))),"")</f>
        <v/>
      </c>
      <c r="K80" s="28" t="str">
        <f>IFERROR(INDEX(tblMilestones[Schedule Flag],MATCH(3,tblMilestones[Open Rank],0))&amp;"","")</f>
        <v/>
      </c>
      <c r="L80" s="27" t="n"/>
      <c r="M80" s="26" t="str">
        <f>IFERROR(INDEX(tblMilestones[Critical Path],MATCH(3,tblMilestones[Open Rank],0))&amp;"","")</f>
        <v/>
      </c>
    </row>
    <row r="81" ht="18" customHeight="1">
      <c r="B81" s="25" t="str">
        <f>IFERROR(INDEX(tblMilestones[ID],MATCH(4,tblMilestones[Open Rank],0)),"")</f>
        <v/>
      </c>
      <c r="C81" s="26" t="str">
        <f>IFERROR(INDEX(tblMilestones[Milestone],MATCH(4,tblMilestones[Open Rank],0))&amp;"","")</f>
        <v/>
      </c>
      <c r="D81" s="27" t="n"/>
      <c r="E81" s="27" t="n"/>
      <c r="F81" s="27" t="n"/>
      <c r="G81" s="26" t="str">
        <f>IFERROR(INDEX(tblMilestones[Objective ID],MATCH(4,tblMilestones[Open Rank],0))&amp;"","")</f>
        <v/>
      </c>
      <c r="H81" s="26" t="str">
        <f>IFERROR(INDEX(tblMilestones[Owner],MATCH(4,tblMilestones[Open Rank],0))&amp;"","")</f>
        <v/>
      </c>
      <c r="I81" s="27" t="n"/>
      <c r="J81" s="29" t="str">
        <f>IFERROR(IF(INDEX(tblMilestones[Effective Due],MATCH(4,tblMilestones[Open Rank],0))="","",INDEX(tblMilestones[Effective Due],MATCH(4,tblMilestones[Open Rank],0))),"")</f>
        <v/>
      </c>
      <c r="K81" s="28" t="str">
        <f>IFERROR(INDEX(tblMilestones[Schedule Flag],MATCH(4,tblMilestones[Open Rank],0))&amp;"","")</f>
        <v/>
      </c>
      <c r="L81" s="27" t="n"/>
      <c r="M81" s="26" t="str">
        <f>IFERROR(INDEX(tblMilestones[Critical Path],MATCH(4,tblMilestones[Open Rank],0))&amp;"","")</f>
        <v/>
      </c>
    </row>
    <row r="82" ht="18" customHeight="1">
      <c r="B82" s="25" t="str">
        <f>IFERROR(INDEX(tblMilestones[ID],MATCH(5,tblMilestones[Open Rank],0)),"")</f>
        <v/>
      </c>
      <c r="C82" s="26" t="str">
        <f>IFERROR(INDEX(tblMilestones[Milestone],MATCH(5,tblMilestones[Open Rank],0))&amp;"","")</f>
        <v/>
      </c>
      <c r="D82" s="27" t="n"/>
      <c r="E82" s="27" t="n"/>
      <c r="F82" s="27" t="n"/>
      <c r="G82" s="26" t="str">
        <f>IFERROR(INDEX(tblMilestones[Objective ID],MATCH(5,tblMilestones[Open Rank],0))&amp;"","")</f>
        <v/>
      </c>
      <c r="H82" s="26" t="str">
        <f>IFERROR(INDEX(tblMilestones[Owner],MATCH(5,tblMilestones[Open Rank],0))&amp;"","")</f>
        <v/>
      </c>
      <c r="I82" s="27" t="n"/>
      <c r="J82" s="29" t="str">
        <f>IFERROR(IF(INDEX(tblMilestones[Effective Due],MATCH(5,tblMilestones[Open Rank],0))="","",INDEX(tblMilestones[Effective Due],MATCH(5,tblMilestones[Open Rank],0))),"")</f>
        <v/>
      </c>
      <c r="K82" s="28" t="str">
        <f>IFERROR(INDEX(tblMilestones[Schedule Flag],MATCH(5,tblMilestones[Open Rank],0))&amp;"","")</f>
        <v/>
      </c>
      <c r="L82" s="27" t="n"/>
      <c r="M82" s="26" t="str">
        <f>IFERROR(INDEX(tblMilestones[Critical Path],MATCH(5,tblMilestones[Open Rank],0))&amp;"","")</f>
        <v/>
      </c>
    </row>
    <row r="85" ht="18" customHeight="1">
      <c r="B85" s="3" t="inlineStr">
        <is>
          <t>ENGAGEMENT ACTIONS BY QUARTER</t>
        </is>
      </c>
      <c r="C85" s="4" t="n"/>
      <c r="D85" s="4" t="n"/>
      <c r="E85" s="4" t="n"/>
      <c r="F85" s="4" t="n"/>
      <c r="G85" s="4" t="n"/>
      <c r="I85" s="3" t="inlineStr">
        <is>
          <t>ESCALATIONS</t>
        </is>
      </c>
      <c r="J85" s="4" t="n"/>
      <c r="K85" s="4" t="n"/>
      <c r="L85" s="4" t="n"/>
      <c r="M85" s="4" t="n"/>
    </row>
    <row r="86" ht="30" customHeight="1">
      <c r="B86" s="23" t="inlineStr">
        <is>
          <t>Quarter</t>
        </is>
      </c>
      <c r="C86" s="23" t="inlineStr">
        <is>
          <t>Complete</t>
        </is>
      </c>
      <c r="D86" s="23" t="inlineStr">
        <is>
          <t>Planned or in progress</t>
        </is>
      </c>
      <c r="E86" s="23" t="inlineStr">
        <is>
          <t>Overdue</t>
        </is>
      </c>
      <c r="F86" s="23" t="inlineStr">
        <is>
          <t>Deferred or cancelled</t>
        </is>
      </c>
      <c r="I86" s="23" t="inlineStr">
        <is>
          <t>Response status</t>
        </is>
      </c>
      <c r="J86" s="24" t="n"/>
      <c r="K86" s="24" t="n"/>
      <c r="L86" s="23" t="inlineStr">
        <is>
          <t>Count</t>
        </is>
      </c>
    </row>
    <row r="87">
      <c r="B87" s="32" t="inlineStr">
        <is>
          <t>Q1</t>
        </is>
      </c>
      <c r="C87" s="33">
        <f>COUNTIFS(tblActions[Quarter],$B87,tblActions[Status],"Complete")</f>
        <v>0</v>
      </c>
      <c r="D87" s="33">
        <f>COUNTIFS(tblActions[Quarter],$B87,tblActions[Status],"Planned")+COUNTIFS(tblActions[Quarter],$B87,tblActions[Status],"In Progress")-E87</f>
        <v>0</v>
      </c>
      <c r="E87" s="33">
        <f>COUNTIFS(tblActions[Quarter],$B87,tblActions[Timing Flag],"Overdue")</f>
        <v>0</v>
      </c>
      <c r="F87" s="33">
        <f>COUNTIFS(tblActions[Quarter],$B87,tblActions[Status],"Deferred")+COUNTIFS(tblActions[Quarter],$B87,tblActions[Status],"Cancelled")</f>
        <v>0</v>
      </c>
      <c r="I87" s="32" t="inlineStr">
        <is>
          <t>Open</t>
        </is>
      </c>
      <c r="J87" s="27" t="n"/>
      <c r="K87" s="27" t="n"/>
      <c r="L87" s="33">
        <f>COUNTIFS(tblEscalations[Response Status],$I87)</f>
        <v>0</v>
      </c>
    </row>
    <row r="88">
      <c r="B88" s="32" t="inlineStr">
        <is>
          <t>Q2</t>
        </is>
      </c>
      <c r="C88" s="33">
        <f>COUNTIFS(tblActions[Quarter],$B88,tblActions[Status],"Complete")</f>
        <v>0</v>
      </c>
      <c r="D88" s="33">
        <f>COUNTIFS(tblActions[Quarter],$B88,tblActions[Status],"Planned")+COUNTIFS(tblActions[Quarter],$B88,tblActions[Status],"In Progress")-E88</f>
        <v>0</v>
      </c>
      <c r="E88" s="33">
        <f>COUNTIFS(tblActions[Quarter],$B88,tblActions[Timing Flag],"Overdue")</f>
        <v>0</v>
      </c>
      <c r="F88" s="33">
        <f>COUNTIFS(tblActions[Quarter],$B88,tblActions[Status],"Deferred")+COUNTIFS(tblActions[Quarter],$B88,tblActions[Status],"Cancelled")</f>
        <v>0</v>
      </c>
      <c r="I88" s="32" t="inlineStr">
        <is>
          <t>Past Due</t>
        </is>
      </c>
      <c r="J88" s="27" t="n"/>
      <c r="K88" s="27" t="n"/>
      <c r="L88" s="33">
        <f>COUNTIFS(tblEscalations[Response Status],$I88)</f>
        <v>0</v>
      </c>
    </row>
    <row r="89">
      <c r="B89" s="32" t="inlineStr">
        <is>
          <t>Q3</t>
        </is>
      </c>
      <c r="C89" s="33">
        <f>COUNTIFS(tblActions[Quarter],$B89,tblActions[Status],"Complete")</f>
        <v>0</v>
      </c>
      <c r="D89" s="33">
        <f>COUNTIFS(tblActions[Quarter],$B89,tblActions[Status],"Planned")+COUNTIFS(tblActions[Quarter],$B89,tblActions[Status],"In Progress")-E89</f>
        <v>0</v>
      </c>
      <c r="E89" s="33">
        <f>COUNTIFS(tblActions[Quarter],$B89,tblActions[Timing Flag],"Overdue")</f>
        <v>0</v>
      </c>
      <c r="F89" s="33">
        <f>COUNTIFS(tblActions[Quarter],$B89,tblActions[Status],"Deferred")+COUNTIFS(tblActions[Quarter],$B89,tblActions[Status],"Cancelled")</f>
        <v>0</v>
      </c>
      <c r="I89" s="32" t="inlineStr">
        <is>
          <t>Resolved</t>
        </is>
      </c>
      <c r="J89" s="27" t="n"/>
      <c r="K89" s="27" t="n"/>
      <c r="L89" s="33">
        <f>COUNTIFS(tblEscalations[Response Status],$I89)</f>
        <v>0</v>
      </c>
    </row>
    <row r="90">
      <c r="B90" s="32" t="inlineStr">
        <is>
          <t>Q4</t>
        </is>
      </c>
      <c r="C90" s="33">
        <f>COUNTIFS(tblActions[Quarter],$B90,tblActions[Status],"Complete")</f>
        <v>0</v>
      </c>
      <c r="D90" s="33">
        <f>COUNTIFS(tblActions[Quarter],$B90,tblActions[Status],"Planned")+COUNTIFS(tblActions[Quarter],$B90,tblActions[Status],"In Progress")-E90</f>
        <v>0</v>
      </c>
      <c r="E90" s="33">
        <f>COUNTIFS(tblActions[Quarter],$B90,tblActions[Timing Flag],"Overdue")</f>
        <v>0</v>
      </c>
      <c r="F90" s="33">
        <f>COUNTIFS(tblActions[Quarter],$B90,tblActions[Status],"Deferred")+COUNTIFS(tblActions[Quarter],$B90,tblActions[Status],"Cancelled")</f>
        <v>0</v>
      </c>
      <c r="I90" s="5" t="inlineStr">
        <is>
          <t>Average days to resolve</t>
        </is>
      </c>
      <c r="L90" s="43" t="str">
        <f>IFERROR(ROUND(SUMPRODUCT((tblEscalations[Response Status]="Resolved")*(tblEscalations[Date Resolved]-tblEscalations[Date Raised]))/COUNTIFS(tblEscalations[Response Status],"Resolved"),1),"")</f>
        <v/>
      </c>
    </row>
    <row r="91">
      <c r="B91" s="34" t="inlineStr">
        <is>
          <t>Total</t>
        </is>
      </c>
      <c r="C91" s="35">
        <f>SUM(C87:C90)</f>
        <v>0</v>
      </c>
      <c r="D91" s="35">
        <f>SUM(D87:D90)</f>
        <v>0</v>
      </c>
      <c r="E91" s="35">
        <f>SUM(E87:E90)</f>
        <v>0</v>
      </c>
      <c r="F91" s="35">
        <f>SUM(F87:F90)</f>
        <v>0</v>
      </c>
    </row>
    <row r="92">
      <c r="B92" s="18" t="inlineStr">
        <is>
          <t>Overdue means Planned or In Progress with a date before the report date.</t>
        </is>
      </c>
    </row>
    <row r="95" ht="18" customHeight="1">
      <c r="B95" s="3" t="inlineStr">
        <is>
          <t>DATA CHECKS</t>
        </is>
      </c>
      <c r="C95" s="4" t="n"/>
      <c r="D95" s="4" t="n"/>
      <c r="E95" s="4" t="n"/>
      <c r="F95" s="4" t="n"/>
      <c r="G95" s="4" t="n"/>
      <c r="H95" s="4" t="n"/>
      <c r="I95" s="4" t="n"/>
      <c r="J95" s="4" t="n"/>
      <c r="K95" s="4" t="n"/>
      <c r="L95" s="4" t="n"/>
      <c r="M95" s="4" t="n"/>
    </row>
    <row r="96">
      <c r="B96" s="23" t="inlineStr">
        <is>
          <t>Check</t>
        </is>
      </c>
      <c r="C96" s="24" t="n"/>
      <c r="D96" s="24" t="n"/>
      <c r="E96" s="24" t="n"/>
      <c r="F96" s="24" t="n"/>
      <c r="G96" s="24" t="n"/>
      <c r="H96" s="24" t="n"/>
      <c r="I96" s="23" t="inlineStr">
        <is>
          <t>Count</t>
        </is>
      </c>
      <c r="J96" s="23" t="inlineStr">
        <is>
          <t>Result</t>
        </is>
      </c>
    </row>
    <row r="97">
      <c r="B97" s="44" t="inlineStr">
        <is>
          <t>Objectives with no milestones</t>
        </is>
      </c>
      <c r="C97" s="27" t="n"/>
      <c r="D97" s="27" t="n"/>
      <c r="E97" s="27" t="n"/>
      <c r="F97" s="27" t="n"/>
      <c r="G97" s="27" t="n"/>
      <c r="H97" s="27" t="n"/>
      <c r="I97" s="33">
        <f>SUMPRODUCT((tblObjectives[ID]&lt;&gt;"")*(tblObjectives[Milestones]=0))</f>
        <v>0</v>
      </c>
      <c r="J97" s="32" t="str">
        <f>IF(I97=0,"OK","Review")</f>
        <v>OK</v>
      </c>
    </row>
    <row r="98">
      <c r="B98" s="44" t="inlineStr">
        <is>
          <t>Objectives with no lead</t>
        </is>
      </c>
      <c r="C98" s="27" t="n"/>
      <c r="D98" s="27" t="n"/>
      <c r="E98" s="27" t="n"/>
      <c r="F98" s="27" t="n"/>
      <c r="G98" s="27" t="n"/>
      <c r="H98" s="27" t="n"/>
      <c r="I98" s="33">
        <f>SUMPRODUCT((tblObjectives[ID]&lt;&gt;"")*(tblObjectives[Lead]=""))</f>
        <v>0</v>
      </c>
      <c r="J98" s="32" t="str">
        <f>IF(I98=0,"OK","Review")</f>
        <v>OK</v>
      </c>
    </row>
    <row r="99">
      <c r="B99" s="44" t="inlineStr">
        <is>
          <t>Open milestones with no owner or no due date</t>
        </is>
      </c>
      <c r="C99" s="27" t="n"/>
      <c r="D99" s="27" t="n"/>
      <c r="E99" s="27" t="n"/>
      <c r="F99" s="27" t="n"/>
      <c r="G99" s="27" t="n"/>
      <c r="H99" s="27" t="n"/>
      <c r="I99" s="33">
        <f>SUMPRODUCT((tblMilestones[ID]&lt;&gt;"")*(tblMilestones[Status]&lt;&gt;"Complete")*(((tblMilestones[Owner]="")+(tblMilestones[Due Date]=""))&gt;0))</f>
        <v>0</v>
      </c>
      <c r="J99" s="32" t="str">
        <f>IF(I99=0,"OK","Review")</f>
        <v>OK</v>
      </c>
    </row>
    <row r="100">
      <c r="B100" s="44" t="inlineStr">
        <is>
          <t>Open high risks with no mitigation entered</t>
        </is>
      </c>
      <c r="C100" s="27" t="n"/>
      <c r="D100" s="27" t="n"/>
      <c r="E100" s="27" t="n"/>
      <c r="F100" s="27" t="n"/>
      <c r="G100" s="27" t="n"/>
      <c r="H100" s="27" t="n"/>
      <c r="I100" s="33">
        <f>SUMPRODUCT((tblRisks[Rating]="High")*(tblRisks[Status]&lt;&gt;"Closed")*(tblRisks[Mitigation or Contingency]=""))</f>
        <v>0</v>
      </c>
      <c r="J100" s="32" t="str">
        <f>IF(I100=0,"OK","Review")</f>
        <v>OK</v>
      </c>
    </row>
    <row r="101">
      <c r="B101" s="44" t="inlineStr">
        <is>
          <t>Tier 1 and 2 relationships with no contact logged</t>
        </is>
      </c>
      <c r="C101" s="27" t="n"/>
      <c r="D101" s="27" t="n"/>
      <c r="E101" s="27" t="n"/>
      <c r="F101" s="27" t="n"/>
      <c r="G101" s="27" t="n"/>
      <c r="H101" s="27" t="n"/>
      <c r="I101" s="33">
        <f>COUNTIFS(tblRelationships[Tier],"Tier 1*",tblRelationships[Contact Status],"No Contact Logged")+COUNTIFS(tblRelationships[Tier],"Tier 2*",tblRelationships[Contact Status],"No Contact Logged")</f>
        <v>0</v>
      </c>
      <c r="J101" s="32" t="str">
        <f>IF(I101=0,"OK","Review")</f>
        <v>OK</v>
      </c>
    </row>
    <row r="102">
      <c r="B102" s="44" t="inlineStr">
        <is>
          <t>Objective status differs from the latest quarterly review</t>
        </is>
      </c>
      <c r="C102" s="27" t="n"/>
      <c r="D102" s="27" t="n"/>
      <c r="E102" s="27" t="n"/>
      <c r="F102" s="27" t="n"/>
      <c r="G102" s="27" t="n"/>
      <c r="H102" s="27" t="n"/>
      <c r="I102" s="33">
        <f>SUMPRODUCT((tblObjectives[ID]&lt;&gt;"")*(tblObjectives[Latest Review Status]&lt;&gt;"")*(tblObjectives[Latest Review Status]&lt;&gt;tblObjectives[Status]))</f>
        <v>0</v>
      </c>
      <c r="J102" s="32" t="str">
        <f>IF(I102=0,"OK","Review")</f>
        <v>OK</v>
      </c>
    </row>
    <row r="103">
      <c r="B103" s="44" t="inlineStr">
        <is>
          <t>Milestones that depend on an unfinished milestone already overdue</t>
        </is>
      </c>
      <c r="C103" s="27" t="n"/>
      <c r="D103" s="27" t="n"/>
      <c r="E103" s="27" t="n"/>
      <c r="F103" s="27" t="n"/>
      <c r="G103" s="27" t="n"/>
      <c r="H103" s="27" t="n"/>
      <c r="I103" s="33">
        <f>SUMPRODUCT((tblMilestones[ID]&lt;&gt;"")*(tblMilestones[Status]&lt;&gt;"Complete")*(tblMilestones[Depends On]&lt;&gt;"")*((tblMilestones[Dependency Status]="Delayed")+(tblMilestones[Dependency Status]="Blocked"))&gt;0)</f>
        <v>0</v>
      </c>
      <c r="J103" s="32" t="str">
        <f>IF(I103=0,"OK","Review")</f>
        <v>OK</v>
      </c>
    </row>
    <row r="104">
      <c r="B104" s="44" t="inlineStr">
        <is>
          <t>Records sharing an ID with another record on the same sheet</t>
        </is>
      </c>
      <c r="C104" s="27" t="n"/>
      <c r="D104" s="27" t="n"/>
      <c r="E104" s="27" t="n"/>
      <c r="F104" s="27" t="n"/>
      <c r="G104" s="27" t="n"/>
      <c r="H104" s="27" t="n"/>
      <c r="I104" s="33">
        <f>SUMPRODUCT((tblObjectives[ID]&lt;&gt;"")*(COUNTIF(tblObjectives[ID],tblObjectives[ID])&gt;1))+SUMPRODUCT((tblRelationships[ID]&lt;&gt;"")*(COUNTIF(tblRelationships[ID],tblRelationships[ID])&gt;1))+SUMPRODUCT((tblPriorities[ID]&lt;&gt;"")*(COUNTIF(tblPriorities[ID],tblPriorities[ID])&gt;1))+SUMPRODUCT((tblActions[ID]&lt;&gt;"")*(COUNTIF(tblActions[ID],tblActions[ID])&gt;1))+SUMPRODUCT((tblMilestones[ID]&lt;&gt;"")*(COUNTIF(tblMilestones[ID],tblMilestones[ID])&gt;1))+SUMPRODUCT((tblRisks[ID]&lt;&gt;"")*(COUNTIF(tblRisks[ID],tblRisks[ID])&gt;1))+SUMPRODUCT((tblEscalations[ID]&lt;&gt;"")*(COUNTIF(tblEscalations[ID],tblEscalations[ID])&gt;1))</f>
        <v>0</v>
      </c>
      <c r="J104" s="32" t="str">
        <f>IF(I104=0,"OK","Review")</f>
        <v>OK</v>
      </c>
    </row>
    <row r="105">
      <c r="B105" s="44" t="inlineStr">
        <is>
          <t>Records pointing to an objective ID that does not exist</t>
        </is>
      </c>
      <c r="C105" s="27" t="n"/>
      <c r="D105" s="27" t="n"/>
      <c r="E105" s="27" t="n"/>
      <c r="F105" s="27" t="n"/>
      <c r="G105" s="27" t="n"/>
      <c r="H105" s="27" t="n"/>
      <c r="I105" s="33">
        <f>SUMPRODUCT((tblRelationships[Objective ID]&lt;&gt;"")*(COUNTIF(tblObjectives[ID],tblRelationships[Objective ID])=0))+SUMPRODUCT((tblPriorities[Objective ID]&lt;&gt;"")*(COUNTIF(tblObjectives[ID],tblPriorities[Objective ID])=0))+SUMPRODUCT((tblActions[Objective ID]&lt;&gt;"")*(COUNTIF(tblObjectives[ID],tblActions[Objective ID])=0))+SUMPRODUCT((tblMilestones[Objective ID]&lt;&gt;"")*(COUNTIF(tblObjectives[ID],tblMilestones[Objective ID])=0))+SUMPRODUCT((tblRisks[Objective ID]&lt;&gt;"")*(COUNTIF(tblObjectives[ID],tblRisks[Objective ID])=0))+SUMPRODUCT((tblEscalations[Objective ID]&lt;&gt;"")*(COUNTIF(tblObjectives[ID],tblEscalations[Objective ID])=0))+SUMPRODUCT((tblQuarterly[Objective ID]&lt;&gt;"")*(COUNTIF(tblObjectives[ID],tblQuarterly[Objective ID])=0))</f>
        <v>0</v>
      </c>
      <c r="J105" s="32" t="str">
        <f>IF(I105=0,"OK","Review")</f>
        <v>OK</v>
      </c>
    </row>
    <row r="106">
      <c r="B106" s="44" t="inlineStr">
        <is>
          <t>Other cross-references to a record that does not exist</t>
        </is>
      </c>
      <c r="C106" s="27" t="n"/>
      <c r="D106" s="27" t="n"/>
      <c r="E106" s="27" t="n"/>
      <c r="F106" s="27" t="n"/>
      <c r="G106" s="27" t="n"/>
      <c r="H106" s="27" t="n"/>
      <c r="I106" s="33">
        <f>SUMPRODUCT((tblActions[Relationship ID]&lt;&gt;"")*(COUNTIF(tblRelationships[ID],tblActions[Relationship ID])=0))+SUMPRODUCT((tblActions[Priority ID]&lt;&gt;"")*(COUNTIF(tblPriorities[ID],tblActions[Priority ID])=0))+SUMPRODUCT((tblMilestones[Depends On]&lt;&gt;"")*(COUNTIF(tblMilestones[ID],tblMilestones[Depends On])=0))+SUMPRODUCT((tblEscalations[Risk ID]&lt;&gt;"")*(COUNTIF(tblRisks[ID],tblEscalations[Risk ID])=0))</f>
        <v>0</v>
      </c>
      <c r="J106" s="32" t="str">
        <f>IF(I106=0,"OK","Review")</f>
        <v>OK</v>
      </c>
    </row>
    <row r="107">
      <c r="B107" s="44" t="inlineStr">
        <is>
          <t>Priority IDs that do not match the Track (LEG or ADM)</t>
        </is>
      </c>
      <c r="C107" s="27" t="n"/>
      <c r="D107" s="27" t="n"/>
      <c r="E107" s="27" t="n"/>
      <c r="F107" s="27" t="n"/>
      <c r="G107" s="27" t="n"/>
      <c r="H107" s="27" t="n"/>
      <c r="I107" s="33">
        <f>SUMPRODUCT((tblPriorities[Track]="Legislative")*(LEFT(tblPriorities[ID],3)&lt;&gt;"LEG"))+SUMPRODUCT((tblPriorities[Track]="Administrative")*(LEFT(tblPriorities[ID],3)&lt;&gt;"ADM"))</f>
        <v>0</v>
      </c>
      <c r="J107" s="32" t="str">
        <f>IF(I107=0,"OK","Review")</f>
        <v>OK</v>
      </c>
    </row>
    <row r="108">
      <c r="B108" s="44" t="inlineStr">
        <is>
          <t>Open risks, open actions, and escalations with no owner</t>
        </is>
      </c>
      <c r="C108" s="27" t="n"/>
      <c r="D108" s="27" t="n"/>
      <c r="E108" s="27" t="n"/>
      <c r="F108" s="27" t="n"/>
      <c r="G108" s="27" t="n"/>
      <c r="H108" s="27" t="n"/>
      <c r="I108" s="33">
        <f>SUMPRODUCT((tblRisks[ID]&lt;&gt;"")*(tblRisks[Status]&lt;&gt;"Closed")*(tblRisks[Owner]=""))+SUMPRODUCT((tblActions[ID]&lt;&gt;"")*((tblActions[Status]="Planned")+(tblActions[Status]="In Progress"))*(tblActions[Owner]=""))+SUMPRODUCT((tblEscalations[ID]&lt;&gt;"")*(tblEscalations[Raised By]=""))</f>
        <v>0</v>
      </c>
      <c r="J108" s="32" t="str">
        <f>IF(I108=0,"OK","Review")</f>
        <v>OK</v>
      </c>
    </row>
    <row r="109">
      <c r="B109" s="44" t="inlineStr">
        <is>
          <t>Dates that do not make sense (text, completed before raised, completed but not marked Complete)</t>
        </is>
      </c>
      <c r="C109" s="27" t="n"/>
      <c r="D109" s="27" t="n"/>
      <c r="E109" s="27" t="n"/>
      <c r="F109" s="27" t="n"/>
      <c r="G109" s="27" t="n"/>
      <c r="H109" s="27" t="n"/>
      <c r="I109" s="33">
        <f>SUMPRODUCT((tblEscalations[Date Resolved]&lt;&gt;"")*(tblEscalations[Date Raised]&lt;&gt;"")*(tblEscalations[Date Resolved]&lt;tblEscalations[Date Raised]))+SUMPRODUCT((tblMilestones[Completed Date]&lt;&gt;"")*(tblMilestones[Status]&lt;&gt;"Complete"))+SUMPRODUCT((tblMilestones[Status]="Complete")*(tblMilestones[Completed Date]=""))+SUMPRODUCT((tblObjectives[Start Date]&lt;&gt;"")*(tblObjectives[Target Date]&lt;&gt;"")*(tblObjectives[Target Date]&lt;tblObjectives[Start Date]))+SUMPRODUCT(--ISTEXT(tblObjectives[Start Date]))+SUMPRODUCT(--ISTEXT(tblObjectives[Target Date]))+SUMPRODUCT(--ISTEXT(tblPriorities[Next Key Date]))+SUMPRODUCT(--ISTEXT(tblActions[Date]))+SUMPRODUCT(--ISTEXT(tblMilestones[Due Date]))+SUMPRODUCT(--ISTEXT(tblMilestones[Revised Due Date]))+SUMPRODUCT(--ISTEXT(tblMilestones[Completed Date]))+SUMPRODUCT(--ISTEXT(tblRisks[Date Identified]))+SUMPRODUCT(--ISTEXT(tblRisks[Last Reviewed]))+SUMPRODUCT(--ISTEXT(tblEscalations[Date Raised]))+SUMPRODUCT(--ISTEXT(tblEscalations[Response Due]))+SUMPRODUCT(--ISTEXT(tblEscalations[Date Resolved]))+SUMPRODUCT(--ISTEXT(tblQuarterly[Review Date]))</f>
        <v>0</v>
      </c>
      <c r="J109" s="32" t="str">
        <f>IF(I109=0,"OK","Review")</f>
        <v>OK</v>
      </c>
    </row>
  </sheetData>
  <mergeCells count="107">
    <mergeCell ref="H82:I82"/>
    <mergeCell ref="I87:K87"/>
    <mergeCell ref="C81:F81"/>
    <mergeCell ref="B104:H104"/>
    <mergeCell ref="I26:J26"/>
    <mergeCell ref="C13:F13"/>
    <mergeCell ref="D6:E6"/>
    <mergeCell ref="C78:F78"/>
    <mergeCell ref="B97:H97"/>
    <mergeCell ref="G72:J72"/>
    <mergeCell ref="I25:J25"/>
    <mergeCell ref="K81:L81"/>
    <mergeCell ref="B106:H106"/>
    <mergeCell ref="B61:C61"/>
    <mergeCell ref="C15:F15"/>
    <mergeCell ref="L5:M5"/>
    <mergeCell ref="I88:K88"/>
    <mergeCell ref="G71:J71"/>
    <mergeCell ref="H79:I79"/>
    <mergeCell ref="B69:C69"/>
    <mergeCell ref="I63:K63"/>
    <mergeCell ref="D7:E7"/>
    <mergeCell ref="C79:F79"/>
    <mergeCell ref="I59:K59"/>
    <mergeCell ref="H81:I81"/>
    <mergeCell ref="C10:F10"/>
    <mergeCell ref="B49:C49"/>
    <mergeCell ref="B51:C51"/>
    <mergeCell ref="G68:J68"/>
    <mergeCell ref="B103:H103"/>
    <mergeCell ref="B108:H108"/>
    <mergeCell ref="K78:L78"/>
    <mergeCell ref="I30:J30"/>
    <mergeCell ref="C17:F17"/>
    <mergeCell ref="L7:M7"/>
    <mergeCell ref="K80:L80"/>
    <mergeCell ref="F6:G6"/>
    <mergeCell ref="C19:F19"/>
    <mergeCell ref="K79:L79"/>
    <mergeCell ref="I62:K62"/>
    <mergeCell ref="F5:G5"/>
    <mergeCell ref="J49:K49"/>
    <mergeCell ref="B53:C53"/>
    <mergeCell ref="C14:F14"/>
    <mergeCell ref="G70:J70"/>
    <mergeCell ref="B96:H96"/>
    <mergeCell ref="I24:J24"/>
    <mergeCell ref="B105:H105"/>
    <mergeCell ref="H80:I80"/>
    <mergeCell ref="B98:H98"/>
    <mergeCell ref="I90:K90"/>
    <mergeCell ref="B107:H107"/>
    <mergeCell ref="B6:C6"/>
    <mergeCell ref="K82:L82"/>
    <mergeCell ref="L6:M6"/>
    <mergeCell ref="J51:K51"/>
    <mergeCell ref="H5:I5"/>
    <mergeCell ref="J48:K48"/>
    <mergeCell ref="B99:H99"/>
    <mergeCell ref="B7:C7"/>
    <mergeCell ref="B72:C72"/>
    <mergeCell ref="C82:F82"/>
    <mergeCell ref="B71:C71"/>
    <mergeCell ref="F7:G7"/>
    <mergeCell ref="B58:C58"/>
    <mergeCell ref="B62:F64"/>
    <mergeCell ref="C18:F18"/>
    <mergeCell ref="B52:C52"/>
    <mergeCell ref="C77:F77"/>
    <mergeCell ref="B109:H109"/>
    <mergeCell ref="B60:C60"/>
    <mergeCell ref="C20:F20"/>
    <mergeCell ref="I86:K86"/>
    <mergeCell ref="C80:F80"/>
    <mergeCell ref="H77:I77"/>
    <mergeCell ref="J50:K50"/>
    <mergeCell ref="I89:K89"/>
    <mergeCell ref="B5:C5"/>
    <mergeCell ref="C12:F12"/>
    <mergeCell ref="D5:E5"/>
    <mergeCell ref="J52:K52"/>
    <mergeCell ref="J5:K5"/>
    <mergeCell ref="B59:C59"/>
    <mergeCell ref="G73:J73"/>
    <mergeCell ref="H78:I78"/>
    <mergeCell ref="I27:J27"/>
    <mergeCell ref="I58:K58"/>
    <mergeCell ref="B70:C70"/>
    <mergeCell ref="B48:C48"/>
    <mergeCell ref="H6:I6"/>
    <mergeCell ref="J6:K6"/>
    <mergeCell ref="B100:H100"/>
    <mergeCell ref="I28:J28"/>
    <mergeCell ref="B73:C73"/>
    <mergeCell ref="K77:L77"/>
    <mergeCell ref="B102:H102"/>
    <mergeCell ref="H7:I7"/>
    <mergeCell ref="I60:K60"/>
    <mergeCell ref="J7:K7"/>
    <mergeCell ref="C16:F16"/>
    <mergeCell ref="B101:H101"/>
    <mergeCell ref="I29:J29"/>
    <mergeCell ref="B68:C68"/>
    <mergeCell ref="G69:J69"/>
    <mergeCell ref="I61:K61"/>
    <mergeCell ref="B50:C50"/>
    <mergeCell ref="C11:F11"/>
  </mergeCells>
  <conditionalFormatting sqref="B6">
    <cfRule type="cellIs" priority="1" operator="greaterThan" dxfId="0">
      <formula>0</formula>
    </cfRule>
  </conditionalFormatting>
  <conditionalFormatting sqref="D6">
    <cfRule type="cellIs" priority="2" operator="greaterThan" dxfId="0">
      <formula>0</formula>
    </cfRule>
  </conditionalFormatting>
  <conditionalFormatting sqref="F6">
    <cfRule type="cellIs" priority="3" operator="greaterThan" dxfId="0">
      <formula>0</formula>
    </cfRule>
  </conditionalFormatting>
  <conditionalFormatting sqref="H6">
    <cfRule type="cellIs" priority="4" operator="greaterThan" dxfId="0">
      <formula>0</formula>
    </cfRule>
  </conditionalFormatting>
  <conditionalFormatting sqref="J6">
    <cfRule type="cellIs" priority="5" operator="greaterThan" dxfId="0">
      <formula>0</formula>
    </cfRule>
  </conditionalFormatting>
  <conditionalFormatting sqref="L6">
    <cfRule type="cellIs" priority="6" operator="greaterThan" dxfId="0">
      <formula>0</formula>
    </cfRule>
  </conditionalFormatting>
  <conditionalFormatting sqref="H11:H20">
    <cfRule type="cellIs" priority="7" operator="equal" dxfId="1">
      <formula>"On Track"</formula>
    </cfRule>
    <cfRule type="cellIs" priority="8" operator="equal" dxfId="2">
      <formula>"Complete"</formula>
    </cfRule>
    <cfRule type="cellIs" priority="9" operator="equal" dxfId="3">
      <formula>"At Risk"</formula>
    </cfRule>
    <cfRule type="cellIs" priority="10" operator="equal" dxfId="4">
      <formula>"Off Track"</formula>
    </cfRule>
    <cfRule type="cellIs" priority="11" operator="equal" dxfId="5">
      <formula>"Not Started"</formula>
    </cfRule>
    <cfRule type="cellIs" priority="12" operator="equal" dxfId="6">
      <formula>"Deferred"</formula>
    </cfRule>
  </conditionalFormatting>
  <conditionalFormatting sqref="L11:L20">
    <cfRule type="cellIs" priority="13" operator="greaterThan" dxfId="4">
      <formula>0</formula>
    </cfRule>
  </conditionalFormatting>
  <conditionalFormatting sqref="M11:M20">
    <cfRule type="cellIs" priority="14" operator="greaterThan" dxfId="3">
      <formula>0</formula>
    </cfRule>
  </conditionalFormatting>
  <conditionalFormatting sqref="F25:F29">
    <cfRule type="cellIs" priority="15" operator="greaterThan" dxfId="7">
      <formula>0</formula>
    </cfRule>
  </conditionalFormatting>
  <conditionalFormatting sqref="I25:J30">
    <cfRule type="cellIs" priority="16" operator="equal" dxfId="1">
      <formula>"On Track"</formula>
    </cfRule>
    <cfRule type="cellIs" priority="17" operator="equal" dxfId="2">
      <formula>"Complete"</formula>
    </cfRule>
    <cfRule type="cellIs" priority="18" operator="equal" dxfId="3">
      <formula>"At Risk"</formula>
    </cfRule>
    <cfRule type="cellIs" priority="19" operator="equal" dxfId="4">
      <formula>"Off Track"</formula>
    </cfRule>
    <cfRule type="cellIs" priority="20" operator="equal" dxfId="5">
      <formula>"Not Started"</formula>
    </cfRule>
    <cfRule type="cellIs" priority="21" operator="equal" dxfId="6">
      <formula>"Deferred"</formula>
    </cfRule>
  </conditionalFormatting>
  <conditionalFormatting sqref="F49:G52">
    <cfRule type="cellIs" priority="22" operator="greaterThan" dxfId="7">
      <formula>0</formula>
    </cfRule>
  </conditionalFormatting>
  <conditionalFormatting sqref="B69:C71">
    <cfRule type="cellIs" priority="23" operator="equal" dxfId="4">
      <formula>"High"</formula>
    </cfRule>
    <cfRule type="cellIs" priority="24" operator="equal" dxfId="3">
      <formula>"Moderate"</formula>
    </cfRule>
    <cfRule type="cellIs" priority="25" operator="equal" dxfId="1">
      <formula>"Low"</formula>
    </cfRule>
  </conditionalFormatting>
  <conditionalFormatting sqref="K69:K73">
    <cfRule type="cellIs" priority="26" operator="equal" dxfId="4">
      <formula>"High"</formula>
    </cfRule>
    <cfRule type="cellIs" priority="27" operator="equal" dxfId="3">
      <formula>"Moderate"</formula>
    </cfRule>
    <cfRule type="cellIs" priority="28" operator="equal" dxfId="1">
      <formula>"Low"</formula>
    </cfRule>
  </conditionalFormatting>
  <conditionalFormatting sqref="K78:L82">
    <cfRule type="cellIs" priority="29" operator="equal" dxfId="4">
      <formula>"Overdue"</formula>
    </cfRule>
    <cfRule type="cellIs" priority="30" operator="equal" dxfId="3">
      <formula>"Due Within 14 Days"</formula>
    </cfRule>
  </conditionalFormatting>
  <conditionalFormatting sqref="E87:E91">
    <cfRule type="cellIs" priority="31" operator="greaterThan" dxfId="7">
      <formula>0</formula>
    </cfRule>
  </conditionalFormatting>
  <conditionalFormatting sqref="I88:K88">
    <cfRule type="cellIs" priority="32" operator="equal" dxfId="4">
      <formula>"Past Due"</formula>
    </cfRule>
  </conditionalFormatting>
  <conditionalFormatting sqref="J97:J109">
    <cfRule type="cellIs" priority="33" operator="equal" dxfId="8">
      <formula>"OK"</formula>
    </cfRule>
    <cfRule type="cellIs" priority="34" operator="equal" dxfId="3">
      <formula>"Review"</formula>
    </cfRule>
  </conditionalFormatting>
  <pageMargins left="0.4" right="0.4" top="1" bottom="1" header="0.5" footer="0.5"/>
  <pageSetup orientation="portrait" fitToHeight="0" fitToWidth="1"/>
  <headerFooter>
    <oddHeader/>
    <oddFooter>&amp;L&amp;8 Intergov Association | Strategic Plan Tracker | Executive Dashboard&amp;R&amp;8 Page &amp;P of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tabColor rgb="00192E43"/>
    <outlinePr summaryBelow="1" summaryRight="1"/>
    <pageSetUpPr fitToPage="1"/>
  </sheetPr>
  <dimension ref="A1:U20"/>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9" customWidth="1" min="1" max="1"/>
    <col width="44" customWidth="1" min="2" max="2"/>
    <col width="17" customWidth="1" min="3" max="3"/>
    <col width="48" customWidth="1" min="4" max="4"/>
    <col width="32" customWidth="1" min="5" max="5"/>
    <col width="28" customWidth="1" min="6" max="6"/>
    <col width="32" customWidth="1" min="7" max="7"/>
    <col width="12" customWidth="1" min="8" max="8"/>
    <col width="16" customWidth="1" min="9" max="9"/>
    <col width="18" customWidth="1" min="10" max="10"/>
    <col width="12" customWidth="1" min="11" max="11"/>
    <col width="12" customWidth="1" min="12" max="12"/>
    <col width="12" customWidth="1" min="13" max="13"/>
    <col width="40" customWidth="1" min="14" max="14"/>
    <col width="10" customWidth="1" min="15" max="15"/>
    <col width="11" customWidth="1" min="16" max="16"/>
    <col width="12" customWidth="1" min="17" max="17"/>
    <col width="11" customWidth="1" min="18" max="18"/>
    <col width="11" customWidth="1" min="19" max="19"/>
    <col width="11" customWidth="1" min="20" max="20"/>
    <col width="14" customWidth="1" min="21" max="21"/>
  </cols>
  <sheetData>
    <row r="1">
      <c r="A1" s="45" t="inlineStr">
        <is>
          <t>Strategic Objectives</t>
        </is>
      </c>
    </row>
    <row r="2">
      <c r="A2" s="2" t="inlineStr">
        <is>
          <t>Four to seven outcomes the plan commits to. Each objective needs one lead, a measurable result, and a date.</t>
        </is>
      </c>
    </row>
    <row r="3">
      <c r="A3" s="18" t="inlineStr">
        <is>
          <t>Navy headers: enter data. Slate headers with gray cells: calculated, do not overwrite. Row 4 (italic) shows the expected format and is not part of the table.</t>
        </is>
      </c>
    </row>
    <row r="4" ht="64" customHeight="1">
      <c r="A4" s="40" t="inlineStr">
        <is>
          <t>OBJ-1</t>
        </is>
      </c>
      <c r="B4" s="40" t="inlineStr">
        <is>
          <t>Obtain a funding commitment from a partner government for a priority project</t>
        </is>
      </c>
      <c r="C4" s="40" t="inlineStr">
        <is>
          <t>Legislative</t>
        </is>
      </c>
      <c r="D4" s="40" t="inlineStr">
        <is>
          <t>The partner government commits funds in writing before the application deadline.</t>
        </is>
      </c>
      <c r="E4" s="40" t="inlineStr">
        <is>
          <t>Written funding commitment on file</t>
        </is>
      </c>
      <c r="F4" s="40" t="inlineStr">
        <is>
          <t>No commitment today</t>
        </is>
      </c>
      <c r="G4" s="40" t="inlineStr">
        <is>
          <t>Commitment received by the application deadline</t>
        </is>
      </c>
      <c r="H4" s="40" t="inlineStr">
        <is>
          <t>EP-1</t>
        </is>
      </c>
      <c r="I4" s="40" t="inlineStr">
        <is>
          <t>Name</t>
        </is>
      </c>
      <c r="J4" s="40" t="inlineStr">
        <is>
          <t>Name</t>
        </is>
      </c>
      <c r="K4" s="46" t="n">
        <v>46391</v>
      </c>
      <c r="L4" s="46" t="n">
        <v>46535</v>
      </c>
      <c r="M4" s="40" t="inlineStr">
        <is>
          <t>On Track</t>
        </is>
      </c>
      <c r="N4" s="40" t="inlineStr">
        <is>
          <t>One or two sentences leadership should know now.</t>
        </is>
      </c>
      <c r="O4" s="47" t="n"/>
      <c r="P4" s="47" t="n"/>
      <c r="Q4" s="47" t="n"/>
      <c r="R4" s="48" t="n"/>
      <c r="S4" s="47" t="n"/>
      <c r="T4" s="47" t="n"/>
      <c r="U4" s="49" t="n"/>
    </row>
    <row r="5" ht="34" customHeight="1">
      <c r="A5" s="50" t="inlineStr">
        <is>
          <t>ID</t>
        </is>
      </c>
      <c r="B5" s="50" t="inlineStr">
        <is>
          <t>Objective</t>
        </is>
      </c>
      <c r="C5" s="50" t="inlineStr">
        <is>
          <t>Type</t>
        </is>
      </c>
      <c r="D5" s="50" t="inlineStr">
        <is>
          <t>Intended Outcome</t>
        </is>
      </c>
      <c r="E5" s="50" t="inlineStr">
        <is>
          <t>Success Measure</t>
        </is>
      </c>
      <c r="F5" s="50" t="inlineStr">
        <is>
          <t>Baseline</t>
        </is>
      </c>
      <c r="G5" s="50" t="inlineStr">
        <is>
          <t>Target</t>
        </is>
      </c>
      <c r="H5" s="50" t="inlineStr">
        <is>
          <t>Executive Priority</t>
        </is>
      </c>
      <c r="I5" s="50" t="inlineStr">
        <is>
          <t>Lead</t>
        </is>
      </c>
      <c r="J5" s="50" t="inlineStr">
        <is>
          <t>Support</t>
        </is>
      </c>
      <c r="K5" s="50" t="inlineStr">
        <is>
          <t>Start Date</t>
        </is>
      </c>
      <c r="L5" s="50" t="inlineStr">
        <is>
          <t>Target Date</t>
        </is>
      </c>
      <c r="M5" s="50" t="inlineStr">
        <is>
          <t>Status</t>
        </is>
      </c>
      <c r="N5" s="50" t="inlineStr">
        <is>
          <t>Status Note</t>
        </is>
      </c>
      <c r="O5" s="51" t="inlineStr">
        <is>
          <t>Days to Target</t>
        </is>
      </c>
      <c r="P5" s="51" t="inlineStr">
        <is>
          <t>Milestones</t>
        </is>
      </c>
      <c r="Q5" s="51" t="inlineStr">
        <is>
          <t>Milestones Complete</t>
        </is>
      </c>
      <c r="R5" s="51" t="inlineStr">
        <is>
          <t>Percent Complete</t>
        </is>
      </c>
      <c r="S5" s="51" t="inlineStr">
        <is>
          <t>Overdue Milestones</t>
        </is>
      </c>
      <c r="T5" s="51" t="inlineStr">
        <is>
          <t>Open High Risks</t>
        </is>
      </c>
      <c r="U5" s="51" t="inlineStr">
        <is>
          <t>Latest Review Status</t>
        </is>
      </c>
    </row>
    <row r="6">
      <c r="A6" s="52" t="n"/>
      <c r="B6" s="26" t="n"/>
      <c r="C6" s="26" t="n"/>
      <c r="D6" s="26" t="n"/>
      <c r="E6" s="26" t="n"/>
      <c r="F6" s="26" t="n"/>
      <c r="G6" s="26" t="n"/>
      <c r="H6" s="52" t="n"/>
      <c r="I6" s="52" t="n"/>
      <c r="J6" s="26" t="n"/>
      <c r="K6" s="53" t="n"/>
      <c r="L6" s="53" t="n"/>
      <c r="M6" s="52" t="n"/>
      <c r="N6" s="26" t="n"/>
      <c r="O6" s="54" t="str">
        <f>IF(OR(tblObjectives[[#This Row],[ID]]="",tblObjectives[[#This Row],[Target Date]]=""),"",tblObjectives[[#This Row],[Target Date]]-AsOf)</f>
        <v/>
      </c>
      <c r="P6" s="54" t="str">
        <f>IF(tblObjectives[[#This Row],[ID]]="","",COUNTIFS(tblMilestones[Objective ID],tblObjectives[[#This Row],[ID]]))</f>
        <v/>
      </c>
      <c r="Q6" s="54" t="str">
        <f>IF(tblObjectives[[#This Row],[ID]]="","",COUNTIFS(tblMilestones[Objective ID],tblObjectives[[#This Row],[ID]],tblMilestones[Status],"Complete"))</f>
        <v/>
      </c>
      <c r="R6" s="55" t="str">
        <f>IF(OR(tblObjectives[[#This Row],[ID]]="",tblObjectives[[#This Row],[Milestones]]=0),"",tblObjectives[[#This Row],[Milestones Complete]]/tblObjectives[[#This Row],[Milestones]])</f>
        <v/>
      </c>
      <c r="S6" s="54" t="str">
        <f>IF(tblObjectives[[#This Row],[ID]]="","",COUNTIFS(tblMilestones[Objective ID],tblObjectives[[#This Row],[ID]],tblMilestones[Schedule Flag],"Overdue"))</f>
        <v/>
      </c>
      <c r="T6" s="54" t="str">
        <f>IF(tblObjectives[[#This Row],[ID]]="","",COUNTIFS(tblRisks[Objective ID],tblObjectives[[#This Row],[ID]],tblRisks[Rating],"High",tblRisks[Status],"&lt;&gt;Closed"))</f>
        <v/>
      </c>
      <c r="U6" s="56" t="str">
        <f>IF(tblObjectives[[#This Row],[ID]]="","",IFERROR(INDEX(tblQuarterly[Status],MATCH("Q4|"&amp;tblObjectives[[#This Row],[ID]],tblQuarterly[Key],0)),IFERROR(INDEX(tblQuarterly[Status],MATCH("Q3|"&amp;tblObjectives[[#This Row],[ID]],tblQuarterly[Key],0)),IFERROR(INDEX(tblQuarterly[Status],MATCH("Q2|"&amp;tblObjectives[[#This Row],[ID]],tblQuarterly[Key],0)),IFERROR(INDEX(tblQuarterly[Status],MATCH("Q1|"&amp;tblObjectives[[#This Row],[ID]],tblQuarterly[Key],0)),"")))))</f>
        <v/>
      </c>
    </row>
    <row r="7">
      <c r="A7" s="52" t="n"/>
      <c r="B7" s="26" t="n"/>
      <c r="C7" s="26" t="n"/>
      <c r="D7" s="26" t="n"/>
      <c r="E7" s="26" t="n"/>
      <c r="F7" s="26" t="n"/>
      <c r="G7" s="26" t="n"/>
      <c r="H7" s="52" t="n"/>
      <c r="I7" s="52" t="n"/>
      <c r="J7" s="26" t="n"/>
      <c r="K7" s="53" t="n"/>
      <c r="L7" s="53" t="n"/>
      <c r="M7" s="52" t="n"/>
      <c r="N7" s="26" t="n"/>
      <c r="O7" s="54" t="str">
        <f>IF(OR(tblObjectives[[#This Row],[ID]]="",tblObjectives[[#This Row],[Target Date]]=""),"",tblObjectives[[#This Row],[Target Date]]-AsOf)</f>
        <v/>
      </c>
      <c r="P7" s="54" t="str">
        <f>IF(tblObjectives[[#This Row],[ID]]="","",COUNTIFS(tblMilestones[Objective ID],tblObjectives[[#This Row],[ID]]))</f>
        <v/>
      </c>
      <c r="Q7" s="54" t="str">
        <f>IF(tblObjectives[[#This Row],[ID]]="","",COUNTIFS(tblMilestones[Objective ID],tblObjectives[[#This Row],[ID]],tblMilestones[Status],"Complete"))</f>
        <v/>
      </c>
      <c r="R7" s="55" t="str">
        <f>IF(OR(tblObjectives[[#This Row],[ID]]="",tblObjectives[[#This Row],[Milestones]]=0),"",tblObjectives[[#This Row],[Milestones Complete]]/tblObjectives[[#This Row],[Milestones]])</f>
        <v/>
      </c>
      <c r="S7" s="54" t="str">
        <f>IF(tblObjectives[[#This Row],[ID]]="","",COUNTIFS(tblMilestones[Objective ID],tblObjectives[[#This Row],[ID]],tblMilestones[Schedule Flag],"Overdue"))</f>
        <v/>
      </c>
      <c r="T7" s="54" t="str">
        <f>IF(tblObjectives[[#This Row],[ID]]="","",COUNTIFS(tblRisks[Objective ID],tblObjectives[[#This Row],[ID]],tblRisks[Rating],"High",tblRisks[Status],"&lt;&gt;Closed"))</f>
        <v/>
      </c>
      <c r="U7" s="56" t="str">
        <f>IF(tblObjectives[[#This Row],[ID]]="","",IFERROR(INDEX(tblQuarterly[Status],MATCH("Q4|"&amp;tblObjectives[[#This Row],[ID]],tblQuarterly[Key],0)),IFERROR(INDEX(tblQuarterly[Status],MATCH("Q3|"&amp;tblObjectives[[#This Row],[ID]],tblQuarterly[Key],0)),IFERROR(INDEX(tblQuarterly[Status],MATCH("Q2|"&amp;tblObjectives[[#This Row],[ID]],tblQuarterly[Key],0)),IFERROR(INDEX(tblQuarterly[Status],MATCH("Q1|"&amp;tblObjectives[[#This Row],[ID]],tblQuarterly[Key],0)),"")))))</f>
        <v/>
      </c>
    </row>
    <row r="8">
      <c r="A8" s="52" t="n"/>
      <c r="B8" s="26" t="n"/>
      <c r="C8" s="26" t="n"/>
      <c r="D8" s="26" t="n"/>
      <c r="E8" s="26" t="n"/>
      <c r="F8" s="26" t="n"/>
      <c r="G8" s="26" t="n"/>
      <c r="H8" s="52" t="n"/>
      <c r="I8" s="52" t="n"/>
      <c r="J8" s="26" t="n"/>
      <c r="K8" s="53" t="n"/>
      <c r="L8" s="53" t="n"/>
      <c r="M8" s="52" t="n"/>
      <c r="N8" s="26" t="n"/>
      <c r="O8" s="54" t="str">
        <f>IF(OR(tblObjectives[[#This Row],[ID]]="",tblObjectives[[#This Row],[Target Date]]=""),"",tblObjectives[[#This Row],[Target Date]]-AsOf)</f>
        <v/>
      </c>
      <c r="P8" s="54" t="str">
        <f>IF(tblObjectives[[#This Row],[ID]]="","",COUNTIFS(tblMilestones[Objective ID],tblObjectives[[#This Row],[ID]]))</f>
        <v/>
      </c>
      <c r="Q8" s="54" t="str">
        <f>IF(tblObjectives[[#This Row],[ID]]="","",COUNTIFS(tblMilestones[Objective ID],tblObjectives[[#This Row],[ID]],tblMilestones[Status],"Complete"))</f>
        <v/>
      </c>
      <c r="R8" s="55" t="str">
        <f>IF(OR(tblObjectives[[#This Row],[ID]]="",tblObjectives[[#This Row],[Milestones]]=0),"",tblObjectives[[#This Row],[Milestones Complete]]/tblObjectives[[#This Row],[Milestones]])</f>
        <v/>
      </c>
      <c r="S8" s="54" t="str">
        <f>IF(tblObjectives[[#This Row],[ID]]="","",COUNTIFS(tblMilestones[Objective ID],tblObjectives[[#This Row],[ID]],tblMilestones[Schedule Flag],"Overdue"))</f>
        <v/>
      </c>
      <c r="T8" s="54" t="str">
        <f>IF(tblObjectives[[#This Row],[ID]]="","",COUNTIFS(tblRisks[Objective ID],tblObjectives[[#This Row],[ID]],tblRisks[Rating],"High",tblRisks[Status],"&lt;&gt;Closed"))</f>
        <v/>
      </c>
      <c r="U8" s="56" t="str">
        <f>IF(tblObjectives[[#This Row],[ID]]="","",IFERROR(INDEX(tblQuarterly[Status],MATCH("Q4|"&amp;tblObjectives[[#This Row],[ID]],tblQuarterly[Key],0)),IFERROR(INDEX(tblQuarterly[Status],MATCH("Q3|"&amp;tblObjectives[[#This Row],[ID]],tblQuarterly[Key],0)),IFERROR(INDEX(tblQuarterly[Status],MATCH("Q2|"&amp;tblObjectives[[#This Row],[ID]],tblQuarterly[Key],0)),IFERROR(INDEX(tblQuarterly[Status],MATCH("Q1|"&amp;tblObjectives[[#This Row],[ID]],tblQuarterly[Key],0)),"")))))</f>
        <v/>
      </c>
    </row>
    <row r="9">
      <c r="A9" s="52" t="n"/>
      <c r="B9" s="26" t="n"/>
      <c r="C9" s="26" t="n"/>
      <c r="D9" s="26" t="n"/>
      <c r="E9" s="26" t="n"/>
      <c r="F9" s="26" t="n"/>
      <c r="G9" s="26" t="n"/>
      <c r="H9" s="52" t="n"/>
      <c r="I9" s="52" t="n"/>
      <c r="J9" s="26" t="n"/>
      <c r="K9" s="53" t="n"/>
      <c r="L9" s="53" t="n"/>
      <c r="M9" s="52" t="n"/>
      <c r="N9" s="26" t="n"/>
      <c r="O9" s="54" t="str">
        <f>IF(OR(tblObjectives[[#This Row],[ID]]="",tblObjectives[[#This Row],[Target Date]]=""),"",tblObjectives[[#This Row],[Target Date]]-AsOf)</f>
        <v/>
      </c>
      <c r="P9" s="54" t="str">
        <f>IF(tblObjectives[[#This Row],[ID]]="","",COUNTIFS(tblMilestones[Objective ID],tblObjectives[[#This Row],[ID]]))</f>
        <v/>
      </c>
      <c r="Q9" s="54" t="str">
        <f>IF(tblObjectives[[#This Row],[ID]]="","",COUNTIFS(tblMilestones[Objective ID],tblObjectives[[#This Row],[ID]],tblMilestones[Status],"Complete"))</f>
        <v/>
      </c>
      <c r="R9" s="55" t="str">
        <f>IF(OR(tblObjectives[[#This Row],[ID]]="",tblObjectives[[#This Row],[Milestones]]=0),"",tblObjectives[[#This Row],[Milestones Complete]]/tblObjectives[[#This Row],[Milestones]])</f>
        <v/>
      </c>
      <c r="S9" s="54" t="str">
        <f>IF(tblObjectives[[#This Row],[ID]]="","",COUNTIFS(tblMilestones[Objective ID],tblObjectives[[#This Row],[ID]],tblMilestones[Schedule Flag],"Overdue"))</f>
        <v/>
      </c>
      <c r="T9" s="54" t="str">
        <f>IF(tblObjectives[[#This Row],[ID]]="","",COUNTIFS(tblRisks[Objective ID],tblObjectives[[#This Row],[ID]],tblRisks[Rating],"High",tblRisks[Status],"&lt;&gt;Closed"))</f>
        <v/>
      </c>
      <c r="U9" s="56" t="str">
        <f>IF(tblObjectives[[#This Row],[ID]]="","",IFERROR(INDEX(tblQuarterly[Status],MATCH("Q4|"&amp;tblObjectives[[#This Row],[ID]],tblQuarterly[Key],0)),IFERROR(INDEX(tblQuarterly[Status],MATCH("Q3|"&amp;tblObjectives[[#This Row],[ID]],tblQuarterly[Key],0)),IFERROR(INDEX(tblQuarterly[Status],MATCH("Q2|"&amp;tblObjectives[[#This Row],[ID]],tblQuarterly[Key],0)),IFERROR(INDEX(tblQuarterly[Status],MATCH("Q1|"&amp;tblObjectives[[#This Row],[ID]],tblQuarterly[Key],0)),"")))))</f>
        <v/>
      </c>
    </row>
    <row r="10">
      <c r="A10" s="52" t="n"/>
      <c r="B10" s="26" t="n"/>
      <c r="C10" s="26" t="n"/>
      <c r="D10" s="26" t="n"/>
      <c r="E10" s="26" t="n"/>
      <c r="F10" s="26" t="n"/>
      <c r="G10" s="26" t="n"/>
      <c r="H10" s="52" t="n"/>
      <c r="I10" s="52" t="n"/>
      <c r="J10" s="26" t="n"/>
      <c r="K10" s="53" t="n"/>
      <c r="L10" s="53" t="n"/>
      <c r="M10" s="52" t="n"/>
      <c r="N10" s="26" t="n"/>
      <c r="O10" s="54" t="str">
        <f>IF(OR(tblObjectives[[#This Row],[ID]]="",tblObjectives[[#This Row],[Target Date]]=""),"",tblObjectives[[#This Row],[Target Date]]-AsOf)</f>
        <v/>
      </c>
      <c r="P10" s="54" t="str">
        <f>IF(tblObjectives[[#This Row],[ID]]="","",COUNTIFS(tblMilestones[Objective ID],tblObjectives[[#This Row],[ID]]))</f>
        <v/>
      </c>
      <c r="Q10" s="54" t="str">
        <f>IF(tblObjectives[[#This Row],[ID]]="","",COUNTIFS(tblMilestones[Objective ID],tblObjectives[[#This Row],[ID]],tblMilestones[Status],"Complete"))</f>
        <v/>
      </c>
      <c r="R10" s="55" t="str">
        <f>IF(OR(tblObjectives[[#This Row],[ID]]="",tblObjectives[[#This Row],[Milestones]]=0),"",tblObjectives[[#This Row],[Milestones Complete]]/tblObjectives[[#This Row],[Milestones]])</f>
        <v/>
      </c>
      <c r="S10" s="54" t="str">
        <f>IF(tblObjectives[[#This Row],[ID]]="","",COUNTIFS(tblMilestones[Objective ID],tblObjectives[[#This Row],[ID]],tblMilestones[Schedule Flag],"Overdue"))</f>
        <v/>
      </c>
      <c r="T10" s="54" t="str">
        <f>IF(tblObjectives[[#This Row],[ID]]="","",COUNTIFS(tblRisks[Objective ID],tblObjectives[[#This Row],[ID]],tblRisks[Rating],"High",tblRisks[Status],"&lt;&gt;Closed"))</f>
        <v/>
      </c>
      <c r="U10" s="56" t="str">
        <f>IF(tblObjectives[[#This Row],[ID]]="","",IFERROR(INDEX(tblQuarterly[Status],MATCH("Q4|"&amp;tblObjectives[[#This Row],[ID]],tblQuarterly[Key],0)),IFERROR(INDEX(tblQuarterly[Status],MATCH("Q3|"&amp;tblObjectives[[#This Row],[ID]],tblQuarterly[Key],0)),IFERROR(INDEX(tblQuarterly[Status],MATCH("Q2|"&amp;tblObjectives[[#This Row],[ID]],tblQuarterly[Key],0)),IFERROR(INDEX(tblQuarterly[Status],MATCH("Q1|"&amp;tblObjectives[[#This Row],[ID]],tblQuarterly[Key],0)),"")))))</f>
        <v/>
      </c>
    </row>
    <row r="11">
      <c r="A11" s="52" t="n"/>
      <c r="B11" s="26" t="n"/>
      <c r="C11" s="26" t="n"/>
      <c r="D11" s="26" t="n"/>
      <c r="E11" s="26" t="n"/>
      <c r="F11" s="26" t="n"/>
      <c r="G11" s="26" t="n"/>
      <c r="H11" s="52" t="n"/>
      <c r="I11" s="52" t="n"/>
      <c r="J11" s="26" t="n"/>
      <c r="K11" s="53" t="n"/>
      <c r="L11" s="53" t="n"/>
      <c r="M11" s="52" t="n"/>
      <c r="N11" s="26" t="n"/>
      <c r="O11" s="54" t="str">
        <f>IF(OR(tblObjectives[[#This Row],[ID]]="",tblObjectives[[#This Row],[Target Date]]=""),"",tblObjectives[[#This Row],[Target Date]]-AsOf)</f>
        <v/>
      </c>
      <c r="P11" s="54" t="str">
        <f>IF(tblObjectives[[#This Row],[ID]]="","",COUNTIFS(tblMilestones[Objective ID],tblObjectives[[#This Row],[ID]]))</f>
        <v/>
      </c>
      <c r="Q11" s="54" t="str">
        <f>IF(tblObjectives[[#This Row],[ID]]="","",COUNTIFS(tblMilestones[Objective ID],tblObjectives[[#This Row],[ID]],tblMilestones[Status],"Complete"))</f>
        <v/>
      </c>
      <c r="R11" s="55" t="str">
        <f>IF(OR(tblObjectives[[#This Row],[ID]]="",tblObjectives[[#This Row],[Milestones]]=0),"",tblObjectives[[#This Row],[Milestones Complete]]/tblObjectives[[#This Row],[Milestones]])</f>
        <v/>
      </c>
      <c r="S11" s="54" t="str">
        <f>IF(tblObjectives[[#This Row],[ID]]="","",COUNTIFS(tblMilestones[Objective ID],tblObjectives[[#This Row],[ID]],tblMilestones[Schedule Flag],"Overdue"))</f>
        <v/>
      </c>
      <c r="T11" s="54" t="str">
        <f>IF(tblObjectives[[#This Row],[ID]]="","",COUNTIFS(tblRisks[Objective ID],tblObjectives[[#This Row],[ID]],tblRisks[Rating],"High",tblRisks[Status],"&lt;&gt;Closed"))</f>
        <v/>
      </c>
      <c r="U11" s="56" t="str">
        <f>IF(tblObjectives[[#This Row],[ID]]="","",IFERROR(INDEX(tblQuarterly[Status],MATCH("Q4|"&amp;tblObjectives[[#This Row],[ID]],tblQuarterly[Key],0)),IFERROR(INDEX(tblQuarterly[Status],MATCH("Q3|"&amp;tblObjectives[[#This Row],[ID]],tblQuarterly[Key],0)),IFERROR(INDEX(tblQuarterly[Status],MATCH("Q2|"&amp;tblObjectives[[#This Row],[ID]],tblQuarterly[Key],0)),IFERROR(INDEX(tblQuarterly[Status],MATCH("Q1|"&amp;tblObjectives[[#This Row],[ID]],tblQuarterly[Key],0)),"")))))</f>
        <v/>
      </c>
    </row>
    <row r="12">
      <c r="A12" s="52" t="n"/>
      <c r="B12" s="26" t="n"/>
      <c r="C12" s="26" t="n"/>
      <c r="D12" s="26" t="n"/>
      <c r="E12" s="26" t="n"/>
      <c r="F12" s="26" t="n"/>
      <c r="G12" s="26" t="n"/>
      <c r="H12" s="52" t="n"/>
      <c r="I12" s="52" t="n"/>
      <c r="J12" s="26" t="n"/>
      <c r="K12" s="53" t="n"/>
      <c r="L12" s="53" t="n"/>
      <c r="M12" s="52" t="n"/>
      <c r="N12" s="26" t="n"/>
      <c r="O12" s="54" t="str">
        <f>IF(OR(tblObjectives[[#This Row],[ID]]="",tblObjectives[[#This Row],[Target Date]]=""),"",tblObjectives[[#This Row],[Target Date]]-AsOf)</f>
        <v/>
      </c>
      <c r="P12" s="54" t="str">
        <f>IF(tblObjectives[[#This Row],[ID]]="","",COUNTIFS(tblMilestones[Objective ID],tblObjectives[[#This Row],[ID]]))</f>
        <v/>
      </c>
      <c r="Q12" s="54" t="str">
        <f>IF(tblObjectives[[#This Row],[ID]]="","",COUNTIFS(tblMilestones[Objective ID],tblObjectives[[#This Row],[ID]],tblMilestones[Status],"Complete"))</f>
        <v/>
      </c>
      <c r="R12" s="55" t="str">
        <f>IF(OR(tblObjectives[[#This Row],[ID]]="",tblObjectives[[#This Row],[Milestones]]=0),"",tblObjectives[[#This Row],[Milestones Complete]]/tblObjectives[[#This Row],[Milestones]])</f>
        <v/>
      </c>
      <c r="S12" s="54" t="str">
        <f>IF(tblObjectives[[#This Row],[ID]]="","",COUNTIFS(tblMilestones[Objective ID],tblObjectives[[#This Row],[ID]],tblMilestones[Schedule Flag],"Overdue"))</f>
        <v/>
      </c>
      <c r="T12" s="54" t="str">
        <f>IF(tblObjectives[[#This Row],[ID]]="","",COUNTIFS(tblRisks[Objective ID],tblObjectives[[#This Row],[ID]],tblRisks[Rating],"High",tblRisks[Status],"&lt;&gt;Closed"))</f>
        <v/>
      </c>
      <c r="U12" s="56" t="str">
        <f>IF(tblObjectives[[#This Row],[ID]]="","",IFERROR(INDEX(tblQuarterly[Status],MATCH("Q4|"&amp;tblObjectives[[#This Row],[ID]],tblQuarterly[Key],0)),IFERROR(INDEX(tblQuarterly[Status],MATCH("Q3|"&amp;tblObjectives[[#This Row],[ID]],tblQuarterly[Key],0)),IFERROR(INDEX(tblQuarterly[Status],MATCH("Q2|"&amp;tblObjectives[[#This Row],[ID]],tblQuarterly[Key],0)),IFERROR(INDEX(tblQuarterly[Status],MATCH("Q1|"&amp;tblObjectives[[#This Row],[ID]],tblQuarterly[Key],0)),"")))))</f>
        <v/>
      </c>
    </row>
    <row r="13">
      <c r="A13" s="52" t="n"/>
      <c r="B13" s="26" t="n"/>
      <c r="C13" s="26" t="n"/>
      <c r="D13" s="26" t="n"/>
      <c r="E13" s="26" t="n"/>
      <c r="F13" s="26" t="n"/>
      <c r="G13" s="26" t="n"/>
      <c r="H13" s="52" t="n"/>
      <c r="I13" s="52" t="n"/>
      <c r="J13" s="26" t="n"/>
      <c r="K13" s="53" t="n"/>
      <c r="L13" s="53" t="n"/>
      <c r="M13" s="52" t="n"/>
      <c r="N13" s="26" t="n"/>
      <c r="O13" s="54" t="str">
        <f>IF(OR(tblObjectives[[#This Row],[ID]]="",tblObjectives[[#This Row],[Target Date]]=""),"",tblObjectives[[#This Row],[Target Date]]-AsOf)</f>
        <v/>
      </c>
      <c r="P13" s="54" t="str">
        <f>IF(tblObjectives[[#This Row],[ID]]="","",COUNTIFS(tblMilestones[Objective ID],tblObjectives[[#This Row],[ID]]))</f>
        <v/>
      </c>
      <c r="Q13" s="54" t="str">
        <f>IF(tblObjectives[[#This Row],[ID]]="","",COUNTIFS(tblMilestones[Objective ID],tblObjectives[[#This Row],[ID]],tblMilestones[Status],"Complete"))</f>
        <v/>
      </c>
      <c r="R13" s="55" t="str">
        <f>IF(OR(tblObjectives[[#This Row],[ID]]="",tblObjectives[[#This Row],[Milestones]]=0),"",tblObjectives[[#This Row],[Milestones Complete]]/tblObjectives[[#This Row],[Milestones]])</f>
        <v/>
      </c>
      <c r="S13" s="54" t="str">
        <f>IF(tblObjectives[[#This Row],[ID]]="","",COUNTIFS(tblMilestones[Objective ID],tblObjectives[[#This Row],[ID]],tblMilestones[Schedule Flag],"Overdue"))</f>
        <v/>
      </c>
      <c r="T13" s="54" t="str">
        <f>IF(tblObjectives[[#This Row],[ID]]="","",COUNTIFS(tblRisks[Objective ID],tblObjectives[[#This Row],[ID]],tblRisks[Rating],"High",tblRisks[Status],"&lt;&gt;Closed"))</f>
        <v/>
      </c>
      <c r="U13" s="56" t="str">
        <f>IF(tblObjectives[[#This Row],[ID]]="","",IFERROR(INDEX(tblQuarterly[Status],MATCH("Q4|"&amp;tblObjectives[[#This Row],[ID]],tblQuarterly[Key],0)),IFERROR(INDEX(tblQuarterly[Status],MATCH("Q3|"&amp;tblObjectives[[#This Row],[ID]],tblQuarterly[Key],0)),IFERROR(INDEX(tblQuarterly[Status],MATCH("Q2|"&amp;tblObjectives[[#This Row],[ID]],tblQuarterly[Key],0)),IFERROR(INDEX(tblQuarterly[Status],MATCH("Q1|"&amp;tblObjectives[[#This Row],[ID]],tblQuarterly[Key],0)),"")))))</f>
        <v/>
      </c>
    </row>
    <row r="14">
      <c r="A14" s="52" t="n"/>
      <c r="B14" s="26" t="n"/>
      <c r="C14" s="26" t="n"/>
      <c r="D14" s="26" t="n"/>
      <c r="E14" s="26" t="n"/>
      <c r="F14" s="26" t="n"/>
      <c r="G14" s="26" t="n"/>
      <c r="H14" s="52" t="n"/>
      <c r="I14" s="52" t="n"/>
      <c r="J14" s="26" t="n"/>
      <c r="K14" s="53" t="n"/>
      <c r="L14" s="53" t="n"/>
      <c r="M14" s="52" t="n"/>
      <c r="N14" s="26" t="n"/>
      <c r="O14" s="54" t="str">
        <f>IF(OR(tblObjectives[[#This Row],[ID]]="",tblObjectives[[#This Row],[Target Date]]=""),"",tblObjectives[[#This Row],[Target Date]]-AsOf)</f>
        <v/>
      </c>
      <c r="P14" s="54" t="str">
        <f>IF(tblObjectives[[#This Row],[ID]]="","",COUNTIFS(tblMilestones[Objective ID],tblObjectives[[#This Row],[ID]]))</f>
        <v/>
      </c>
      <c r="Q14" s="54" t="str">
        <f>IF(tblObjectives[[#This Row],[ID]]="","",COUNTIFS(tblMilestones[Objective ID],tblObjectives[[#This Row],[ID]],tblMilestones[Status],"Complete"))</f>
        <v/>
      </c>
      <c r="R14" s="55" t="str">
        <f>IF(OR(tblObjectives[[#This Row],[ID]]="",tblObjectives[[#This Row],[Milestones]]=0),"",tblObjectives[[#This Row],[Milestones Complete]]/tblObjectives[[#This Row],[Milestones]])</f>
        <v/>
      </c>
      <c r="S14" s="54" t="str">
        <f>IF(tblObjectives[[#This Row],[ID]]="","",COUNTIFS(tblMilestones[Objective ID],tblObjectives[[#This Row],[ID]],tblMilestones[Schedule Flag],"Overdue"))</f>
        <v/>
      </c>
      <c r="T14" s="54" t="str">
        <f>IF(tblObjectives[[#This Row],[ID]]="","",COUNTIFS(tblRisks[Objective ID],tblObjectives[[#This Row],[ID]],tblRisks[Rating],"High",tblRisks[Status],"&lt;&gt;Closed"))</f>
        <v/>
      </c>
      <c r="U14" s="56" t="str">
        <f>IF(tblObjectives[[#This Row],[ID]]="","",IFERROR(INDEX(tblQuarterly[Status],MATCH("Q4|"&amp;tblObjectives[[#This Row],[ID]],tblQuarterly[Key],0)),IFERROR(INDEX(tblQuarterly[Status],MATCH("Q3|"&amp;tblObjectives[[#This Row],[ID]],tblQuarterly[Key],0)),IFERROR(INDEX(tblQuarterly[Status],MATCH("Q2|"&amp;tblObjectives[[#This Row],[ID]],tblQuarterly[Key],0)),IFERROR(INDEX(tblQuarterly[Status],MATCH("Q1|"&amp;tblObjectives[[#This Row],[ID]],tblQuarterly[Key],0)),"")))))</f>
        <v/>
      </c>
    </row>
    <row r="15">
      <c r="A15" s="52" t="n"/>
      <c r="B15" s="26" t="n"/>
      <c r="C15" s="26" t="n"/>
      <c r="D15" s="26" t="n"/>
      <c r="E15" s="26" t="n"/>
      <c r="F15" s="26" t="n"/>
      <c r="G15" s="26" t="n"/>
      <c r="H15" s="52" t="n"/>
      <c r="I15" s="52" t="n"/>
      <c r="J15" s="26" t="n"/>
      <c r="K15" s="53" t="n"/>
      <c r="L15" s="53" t="n"/>
      <c r="M15" s="52" t="n"/>
      <c r="N15" s="26" t="n"/>
      <c r="O15" s="54" t="str">
        <f>IF(OR(tblObjectives[[#This Row],[ID]]="",tblObjectives[[#This Row],[Target Date]]=""),"",tblObjectives[[#This Row],[Target Date]]-AsOf)</f>
        <v/>
      </c>
      <c r="P15" s="54" t="str">
        <f>IF(tblObjectives[[#This Row],[ID]]="","",COUNTIFS(tblMilestones[Objective ID],tblObjectives[[#This Row],[ID]]))</f>
        <v/>
      </c>
      <c r="Q15" s="54" t="str">
        <f>IF(tblObjectives[[#This Row],[ID]]="","",COUNTIFS(tblMilestones[Objective ID],tblObjectives[[#This Row],[ID]],tblMilestones[Status],"Complete"))</f>
        <v/>
      </c>
      <c r="R15" s="55" t="str">
        <f>IF(OR(tblObjectives[[#This Row],[ID]]="",tblObjectives[[#This Row],[Milestones]]=0),"",tblObjectives[[#This Row],[Milestones Complete]]/tblObjectives[[#This Row],[Milestones]])</f>
        <v/>
      </c>
      <c r="S15" s="54" t="str">
        <f>IF(tblObjectives[[#This Row],[ID]]="","",COUNTIFS(tblMilestones[Objective ID],tblObjectives[[#This Row],[ID]],tblMilestones[Schedule Flag],"Overdue"))</f>
        <v/>
      </c>
      <c r="T15" s="54" t="str">
        <f>IF(tblObjectives[[#This Row],[ID]]="","",COUNTIFS(tblRisks[Objective ID],tblObjectives[[#This Row],[ID]],tblRisks[Rating],"High",tblRisks[Status],"&lt;&gt;Closed"))</f>
        <v/>
      </c>
      <c r="U15" s="56" t="str">
        <f>IF(tblObjectives[[#This Row],[ID]]="","",IFERROR(INDEX(tblQuarterly[Status],MATCH("Q4|"&amp;tblObjectives[[#This Row],[ID]],tblQuarterly[Key],0)),IFERROR(INDEX(tblQuarterly[Status],MATCH("Q3|"&amp;tblObjectives[[#This Row],[ID]],tblQuarterly[Key],0)),IFERROR(INDEX(tblQuarterly[Status],MATCH("Q2|"&amp;tblObjectives[[#This Row],[ID]],tblQuarterly[Key],0)),IFERROR(INDEX(tblQuarterly[Status],MATCH("Q1|"&amp;tblObjectives[[#This Row],[ID]],tblQuarterly[Key],0)),"")))))</f>
        <v/>
      </c>
    </row>
    <row r="16">
      <c r="A16" s="52" t="n"/>
      <c r="B16" s="26" t="n"/>
      <c r="C16" s="26" t="n"/>
      <c r="D16" s="26" t="n"/>
      <c r="E16" s="26" t="n"/>
      <c r="F16" s="26" t="n"/>
      <c r="G16" s="26" t="n"/>
      <c r="H16" s="52" t="n"/>
      <c r="I16" s="52" t="n"/>
      <c r="J16" s="26" t="n"/>
      <c r="K16" s="53" t="n"/>
      <c r="L16" s="53" t="n"/>
      <c r="M16" s="52" t="n"/>
      <c r="N16" s="26" t="n"/>
      <c r="O16" s="54" t="str">
        <f>IF(OR(tblObjectives[[#This Row],[ID]]="",tblObjectives[[#This Row],[Target Date]]=""),"",tblObjectives[[#This Row],[Target Date]]-AsOf)</f>
        <v/>
      </c>
      <c r="P16" s="54" t="str">
        <f>IF(tblObjectives[[#This Row],[ID]]="","",COUNTIFS(tblMilestones[Objective ID],tblObjectives[[#This Row],[ID]]))</f>
        <v/>
      </c>
      <c r="Q16" s="54" t="str">
        <f>IF(tblObjectives[[#This Row],[ID]]="","",COUNTIFS(tblMilestones[Objective ID],tblObjectives[[#This Row],[ID]],tblMilestones[Status],"Complete"))</f>
        <v/>
      </c>
      <c r="R16" s="55" t="str">
        <f>IF(OR(tblObjectives[[#This Row],[ID]]="",tblObjectives[[#This Row],[Milestones]]=0),"",tblObjectives[[#This Row],[Milestones Complete]]/tblObjectives[[#This Row],[Milestones]])</f>
        <v/>
      </c>
      <c r="S16" s="54" t="str">
        <f>IF(tblObjectives[[#This Row],[ID]]="","",COUNTIFS(tblMilestones[Objective ID],tblObjectives[[#This Row],[ID]],tblMilestones[Schedule Flag],"Overdue"))</f>
        <v/>
      </c>
      <c r="T16" s="54" t="str">
        <f>IF(tblObjectives[[#This Row],[ID]]="","",COUNTIFS(tblRisks[Objective ID],tblObjectives[[#This Row],[ID]],tblRisks[Rating],"High",tblRisks[Status],"&lt;&gt;Closed"))</f>
        <v/>
      </c>
      <c r="U16" s="56" t="str">
        <f>IF(tblObjectives[[#This Row],[ID]]="","",IFERROR(INDEX(tblQuarterly[Status],MATCH("Q4|"&amp;tblObjectives[[#This Row],[ID]],tblQuarterly[Key],0)),IFERROR(INDEX(tblQuarterly[Status],MATCH("Q3|"&amp;tblObjectives[[#This Row],[ID]],tblQuarterly[Key],0)),IFERROR(INDEX(tblQuarterly[Status],MATCH("Q2|"&amp;tblObjectives[[#This Row],[ID]],tblQuarterly[Key],0)),IFERROR(INDEX(tblQuarterly[Status],MATCH("Q1|"&amp;tblObjectives[[#This Row],[ID]],tblQuarterly[Key],0)),"")))))</f>
        <v/>
      </c>
    </row>
    <row r="17">
      <c r="A17" s="52" t="n"/>
      <c r="B17" s="26" t="n"/>
      <c r="C17" s="26" t="n"/>
      <c r="D17" s="26" t="n"/>
      <c r="E17" s="26" t="n"/>
      <c r="F17" s="26" t="n"/>
      <c r="G17" s="26" t="n"/>
      <c r="H17" s="52" t="n"/>
      <c r="I17" s="52" t="n"/>
      <c r="J17" s="26" t="n"/>
      <c r="K17" s="53" t="n"/>
      <c r="L17" s="53" t="n"/>
      <c r="M17" s="52" t="n"/>
      <c r="N17" s="26" t="n"/>
      <c r="O17" s="54" t="str">
        <f>IF(OR(tblObjectives[[#This Row],[ID]]="",tblObjectives[[#This Row],[Target Date]]=""),"",tblObjectives[[#This Row],[Target Date]]-AsOf)</f>
        <v/>
      </c>
      <c r="P17" s="54" t="str">
        <f>IF(tblObjectives[[#This Row],[ID]]="","",COUNTIFS(tblMilestones[Objective ID],tblObjectives[[#This Row],[ID]]))</f>
        <v/>
      </c>
      <c r="Q17" s="54" t="str">
        <f>IF(tblObjectives[[#This Row],[ID]]="","",COUNTIFS(tblMilestones[Objective ID],tblObjectives[[#This Row],[ID]],tblMilestones[Status],"Complete"))</f>
        <v/>
      </c>
      <c r="R17" s="55" t="str">
        <f>IF(OR(tblObjectives[[#This Row],[ID]]="",tblObjectives[[#This Row],[Milestones]]=0),"",tblObjectives[[#This Row],[Milestones Complete]]/tblObjectives[[#This Row],[Milestones]])</f>
        <v/>
      </c>
      <c r="S17" s="54" t="str">
        <f>IF(tblObjectives[[#This Row],[ID]]="","",COUNTIFS(tblMilestones[Objective ID],tblObjectives[[#This Row],[ID]],tblMilestones[Schedule Flag],"Overdue"))</f>
        <v/>
      </c>
      <c r="T17" s="54" t="str">
        <f>IF(tblObjectives[[#This Row],[ID]]="","",COUNTIFS(tblRisks[Objective ID],tblObjectives[[#This Row],[ID]],tblRisks[Rating],"High",tblRisks[Status],"&lt;&gt;Closed"))</f>
        <v/>
      </c>
      <c r="U17" s="56" t="str">
        <f>IF(tblObjectives[[#This Row],[ID]]="","",IFERROR(INDEX(tblQuarterly[Status],MATCH("Q4|"&amp;tblObjectives[[#This Row],[ID]],tblQuarterly[Key],0)),IFERROR(INDEX(tblQuarterly[Status],MATCH("Q3|"&amp;tblObjectives[[#This Row],[ID]],tblQuarterly[Key],0)),IFERROR(INDEX(tblQuarterly[Status],MATCH("Q2|"&amp;tblObjectives[[#This Row],[ID]],tblQuarterly[Key],0)),IFERROR(INDEX(tblQuarterly[Status],MATCH("Q1|"&amp;tblObjectives[[#This Row],[ID]],tblQuarterly[Key],0)),"")))))</f>
        <v/>
      </c>
    </row>
    <row r="18">
      <c r="A18" s="52" t="n"/>
      <c r="B18" s="26" t="n"/>
      <c r="C18" s="26" t="n"/>
      <c r="D18" s="26" t="n"/>
      <c r="E18" s="26" t="n"/>
      <c r="F18" s="26" t="n"/>
      <c r="G18" s="26" t="n"/>
      <c r="H18" s="52" t="n"/>
      <c r="I18" s="52" t="n"/>
      <c r="J18" s="26" t="n"/>
      <c r="K18" s="53" t="n"/>
      <c r="L18" s="53" t="n"/>
      <c r="M18" s="52" t="n"/>
      <c r="N18" s="26" t="n"/>
      <c r="O18" s="54" t="str">
        <f>IF(OR(tblObjectives[[#This Row],[ID]]="",tblObjectives[[#This Row],[Target Date]]=""),"",tblObjectives[[#This Row],[Target Date]]-AsOf)</f>
        <v/>
      </c>
      <c r="P18" s="54" t="str">
        <f>IF(tblObjectives[[#This Row],[ID]]="","",COUNTIFS(tblMilestones[Objective ID],tblObjectives[[#This Row],[ID]]))</f>
        <v/>
      </c>
      <c r="Q18" s="54" t="str">
        <f>IF(tblObjectives[[#This Row],[ID]]="","",COUNTIFS(tblMilestones[Objective ID],tblObjectives[[#This Row],[ID]],tblMilestones[Status],"Complete"))</f>
        <v/>
      </c>
      <c r="R18" s="55" t="str">
        <f>IF(OR(tblObjectives[[#This Row],[ID]]="",tblObjectives[[#This Row],[Milestones]]=0),"",tblObjectives[[#This Row],[Milestones Complete]]/tblObjectives[[#This Row],[Milestones]])</f>
        <v/>
      </c>
      <c r="S18" s="54" t="str">
        <f>IF(tblObjectives[[#This Row],[ID]]="","",COUNTIFS(tblMilestones[Objective ID],tblObjectives[[#This Row],[ID]],tblMilestones[Schedule Flag],"Overdue"))</f>
        <v/>
      </c>
      <c r="T18" s="54" t="str">
        <f>IF(tblObjectives[[#This Row],[ID]]="","",COUNTIFS(tblRisks[Objective ID],tblObjectives[[#This Row],[ID]],tblRisks[Rating],"High",tblRisks[Status],"&lt;&gt;Closed"))</f>
        <v/>
      </c>
      <c r="U18" s="56" t="str">
        <f>IF(tblObjectives[[#This Row],[ID]]="","",IFERROR(INDEX(tblQuarterly[Status],MATCH("Q4|"&amp;tblObjectives[[#This Row],[ID]],tblQuarterly[Key],0)),IFERROR(INDEX(tblQuarterly[Status],MATCH("Q3|"&amp;tblObjectives[[#This Row],[ID]],tblQuarterly[Key],0)),IFERROR(INDEX(tblQuarterly[Status],MATCH("Q2|"&amp;tblObjectives[[#This Row],[ID]],tblQuarterly[Key],0)),IFERROR(INDEX(tblQuarterly[Status],MATCH("Q1|"&amp;tblObjectives[[#This Row],[ID]],tblQuarterly[Key],0)),"")))))</f>
        <v/>
      </c>
    </row>
    <row r="19">
      <c r="A19" s="52" t="n"/>
      <c r="B19" s="26" t="n"/>
      <c r="C19" s="26" t="n"/>
      <c r="D19" s="26" t="n"/>
      <c r="E19" s="26" t="n"/>
      <c r="F19" s="26" t="n"/>
      <c r="G19" s="26" t="n"/>
      <c r="H19" s="52" t="n"/>
      <c r="I19" s="52" t="n"/>
      <c r="J19" s="26" t="n"/>
      <c r="K19" s="53" t="n"/>
      <c r="L19" s="53" t="n"/>
      <c r="M19" s="52" t="n"/>
      <c r="N19" s="26" t="n"/>
      <c r="O19" s="54" t="str">
        <f>IF(OR(tblObjectives[[#This Row],[ID]]="",tblObjectives[[#This Row],[Target Date]]=""),"",tblObjectives[[#This Row],[Target Date]]-AsOf)</f>
        <v/>
      </c>
      <c r="P19" s="54" t="str">
        <f>IF(tblObjectives[[#This Row],[ID]]="","",COUNTIFS(tblMilestones[Objective ID],tblObjectives[[#This Row],[ID]]))</f>
        <v/>
      </c>
      <c r="Q19" s="54" t="str">
        <f>IF(tblObjectives[[#This Row],[ID]]="","",COUNTIFS(tblMilestones[Objective ID],tblObjectives[[#This Row],[ID]],tblMilestones[Status],"Complete"))</f>
        <v/>
      </c>
      <c r="R19" s="55" t="str">
        <f>IF(OR(tblObjectives[[#This Row],[ID]]="",tblObjectives[[#This Row],[Milestones]]=0),"",tblObjectives[[#This Row],[Milestones Complete]]/tblObjectives[[#This Row],[Milestones]])</f>
        <v/>
      </c>
      <c r="S19" s="54" t="str">
        <f>IF(tblObjectives[[#This Row],[ID]]="","",COUNTIFS(tblMilestones[Objective ID],tblObjectives[[#This Row],[ID]],tblMilestones[Schedule Flag],"Overdue"))</f>
        <v/>
      </c>
      <c r="T19" s="54" t="str">
        <f>IF(tblObjectives[[#This Row],[ID]]="","",COUNTIFS(tblRisks[Objective ID],tblObjectives[[#This Row],[ID]],tblRisks[Rating],"High",tblRisks[Status],"&lt;&gt;Closed"))</f>
        <v/>
      </c>
      <c r="U19" s="56" t="str">
        <f>IF(tblObjectives[[#This Row],[ID]]="","",IFERROR(INDEX(tblQuarterly[Status],MATCH("Q4|"&amp;tblObjectives[[#This Row],[ID]],tblQuarterly[Key],0)),IFERROR(INDEX(tblQuarterly[Status],MATCH("Q3|"&amp;tblObjectives[[#This Row],[ID]],tblQuarterly[Key],0)),IFERROR(INDEX(tblQuarterly[Status],MATCH("Q2|"&amp;tblObjectives[[#This Row],[ID]],tblQuarterly[Key],0)),IFERROR(INDEX(tblQuarterly[Status],MATCH("Q1|"&amp;tblObjectives[[#This Row],[ID]],tblQuarterly[Key],0)),"")))))</f>
        <v/>
      </c>
    </row>
    <row r="20">
      <c r="A20" s="52" t="n"/>
      <c r="B20" s="26" t="n"/>
      <c r="C20" s="26" t="n"/>
      <c r="D20" s="26" t="n"/>
      <c r="E20" s="26" t="n"/>
      <c r="F20" s="26" t="n"/>
      <c r="G20" s="26" t="n"/>
      <c r="H20" s="52" t="n"/>
      <c r="I20" s="52" t="n"/>
      <c r="J20" s="26" t="n"/>
      <c r="K20" s="53" t="n"/>
      <c r="L20" s="53" t="n"/>
      <c r="M20" s="52" t="n"/>
      <c r="N20" s="26" t="n"/>
      <c r="O20" s="54" t="str">
        <f>IF(OR(tblObjectives[[#This Row],[ID]]="",tblObjectives[[#This Row],[Target Date]]=""),"",tblObjectives[[#This Row],[Target Date]]-AsOf)</f>
        <v/>
      </c>
      <c r="P20" s="54" t="str">
        <f>IF(tblObjectives[[#This Row],[ID]]="","",COUNTIFS(tblMilestones[Objective ID],tblObjectives[[#This Row],[ID]]))</f>
        <v/>
      </c>
      <c r="Q20" s="54" t="str">
        <f>IF(tblObjectives[[#This Row],[ID]]="","",COUNTIFS(tblMilestones[Objective ID],tblObjectives[[#This Row],[ID]],tblMilestones[Status],"Complete"))</f>
        <v/>
      </c>
      <c r="R20" s="55" t="str">
        <f>IF(OR(tblObjectives[[#This Row],[ID]]="",tblObjectives[[#This Row],[Milestones]]=0),"",tblObjectives[[#This Row],[Milestones Complete]]/tblObjectives[[#This Row],[Milestones]])</f>
        <v/>
      </c>
      <c r="S20" s="54" t="str">
        <f>IF(tblObjectives[[#This Row],[ID]]="","",COUNTIFS(tblMilestones[Objective ID],tblObjectives[[#This Row],[ID]],tblMilestones[Schedule Flag],"Overdue"))</f>
        <v/>
      </c>
      <c r="T20" s="54" t="str">
        <f>IF(tblObjectives[[#This Row],[ID]]="","",COUNTIFS(tblRisks[Objective ID],tblObjectives[[#This Row],[ID]],tblRisks[Rating],"High",tblRisks[Status],"&lt;&gt;Closed"))</f>
        <v/>
      </c>
      <c r="U20" s="56" t="str">
        <f>IF(tblObjectives[[#This Row],[ID]]="","",IFERROR(INDEX(tblQuarterly[Status],MATCH("Q4|"&amp;tblObjectives[[#This Row],[ID]],tblQuarterly[Key],0)),IFERROR(INDEX(tblQuarterly[Status],MATCH("Q3|"&amp;tblObjectives[[#This Row],[ID]],tblQuarterly[Key],0)),IFERROR(INDEX(tblQuarterly[Status],MATCH("Q2|"&amp;tblObjectives[[#This Row],[ID]],tblQuarterly[Key],0)),IFERROR(INDEX(tblQuarterly[Status],MATCH("Q1|"&amp;tblObjectives[[#This Row],[ID]],tblQuarterly[Key],0)),"")))))</f>
        <v/>
      </c>
    </row>
  </sheetData>
  <conditionalFormatting sqref="M6:M20">
    <cfRule type="cellIs" priority="1" operator="equal" dxfId="1">
      <formula>"On Track"</formula>
    </cfRule>
    <cfRule type="cellIs" priority="2" operator="equal" dxfId="2">
      <formula>"Complete"</formula>
    </cfRule>
    <cfRule type="cellIs" priority="3" operator="equal" dxfId="3">
      <formula>"At Risk"</formula>
    </cfRule>
    <cfRule type="cellIs" priority="4" operator="equal" dxfId="4">
      <formula>"Off Track"</formula>
    </cfRule>
    <cfRule type="cellIs" priority="5" operator="equal" dxfId="5">
      <formula>"Not Started"</formula>
    </cfRule>
    <cfRule type="cellIs" priority="6" operator="equal" dxfId="6">
      <formula>"Deferred"</formula>
    </cfRule>
  </conditionalFormatting>
  <conditionalFormatting sqref="U6:U20">
    <cfRule type="cellIs" priority="7" operator="equal" dxfId="1">
      <formula>"On Track"</formula>
    </cfRule>
    <cfRule type="cellIs" priority="8" operator="equal" dxfId="2">
      <formula>"Complete"</formula>
    </cfRule>
    <cfRule type="cellIs" priority="9" operator="equal" dxfId="3">
      <formula>"At Risk"</formula>
    </cfRule>
    <cfRule type="cellIs" priority="10" operator="equal" dxfId="4">
      <formula>"Off Track"</formula>
    </cfRule>
    <cfRule type="cellIs" priority="11" operator="equal" dxfId="5">
      <formula>"Not Started"</formula>
    </cfRule>
    <cfRule type="cellIs" priority="12" operator="equal" dxfId="6">
      <formula>"Deferred"</formula>
    </cfRule>
  </conditionalFormatting>
  <conditionalFormatting sqref="S6:S20">
    <cfRule type="cellIs" priority="13" operator="greaterThan" dxfId="4">
      <formula>0</formula>
    </cfRule>
  </conditionalFormatting>
  <conditionalFormatting sqref="T6:T20">
    <cfRule type="cellIs" priority="14" operator="greaterThan" dxfId="3">
      <formula>0</formula>
    </cfRule>
  </conditionalFormatting>
  <dataValidations count="5">
    <dataValidation sqref="C6:C20" showDropDown="0" showInputMessage="0" showErrorMessage="1" allowBlank="1" errorTitle="Choose from the list" error="Pick a value from the dropdown. Edit the lists on the Lists sheet." type="list" errorStyle="stop">
      <formula1>=lstObjType</formula1>
    </dataValidation>
    <dataValidation sqref="I6:I20" showDropDown="0" showInputMessage="0" showErrorMessage="1" allowBlank="1" errorTitle="Name not on the People list" error="This name is not on the People list on the Lists sheet. Add it there, or continue to keep what you typed." type="list" errorStyle="warning">
      <formula1>=lstPeople</formula1>
    </dataValidation>
    <dataValidation sqref="K6:K20" showDropDown="0" showInputMessage="0" showErrorMessage="1" allowBlank="1" errorTitle="Enter a date" error="Enter a valid date, for example 4/15/2027." type="date" errorStyle="stop" operator="greaterThanOrEqual">
      <formula1>36526</formula1>
    </dataValidation>
    <dataValidation sqref="L6:L20" showDropDown="0" showInputMessage="0" showErrorMessage="1" allowBlank="1" errorTitle="Enter a date" error="Enter a valid date, for example 4/15/2027." type="date" errorStyle="stop" operator="greaterThanOrEqual">
      <formula1>36526</formula1>
    </dataValidation>
    <dataValidation sqref="M6:M20" showDropDown="0" showInputMessage="0" showErrorMessage="1" allowBlank="1" errorTitle="Choose from the list" error="Pick a value from the dropdown. Edit the lists on the Lists sheet." type="list" errorStyle="stop">
      <formula1>=lstObjStatus</formula1>
    </dataValidation>
  </dataValidations>
  <pageMargins left="0.5" right="0.5" top="1" bottom="1" header="0.5" footer="0.5"/>
  <pageSetup orientation="landscape" fitToHeight="0" fitToWidth="1"/>
  <headerFooter>
    <oddHeader/>
    <oddFooter>&amp;L&amp;8 Intergov Association | Strategic Plan Tracker&amp;R&amp;8 &amp;A | Page &amp;P of &amp;N</oddFooter>
    <evenHeader/>
    <evenFooter/>
    <firstHeader/>
    <firstFooter/>
  </headerFooter>
  <tableParts count="1">
    <tablePart xmlns:r="http://schemas.openxmlformats.org/officeDocument/2006/relationships" r:id="rId1"/>
  </tableParts>
</worksheet>
</file>

<file path=xl/worksheets/sheet4.xml><?xml version="1.0" encoding="utf-8"?>
<worksheet xmlns="http://schemas.openxmlformats.org/spreadsheetml/2006/main">
  <sheetPr>
    <tabColor rgb="00192E43"/>
    <outlinePr summaryBelow="1" summaryRight="1"/>
    <pageSetUpPr fitToPage="1"/>
  </sheetPr>
  <dimension ref="A1:S45"/>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9" customWidth="1" min="1" max="1"/>
    <col width="30" customWidth="1" min="2" max="2"/>
    <col width="12" customWidth="1" min="3" max="3"/>
    <col width="22" customWidth="1" min="4" max="4"/>
    <col width="24" customWidth="1" min="5" max="5"/>
    <col width="16" customWidth="1" min="6" max="6"/>
    <col width="16" customWidth="1" min="7" max="7"/>
    <col width="11" customWidth="1" min="8" max="8"/>
    <col width="12" customWidth="1" min="9" max="9"/>
    <col width="38" customWidth="1" min="10" max="10"/>
    <col width="38" customWidth="1" min="11" max="11"/>
    <col width="11" customWidth="1" min="12" max="12"/>
    <col width="12" customWidth="1" min="13" max="13"/>
    <col width="40" customWidth="1" min="14" max="14"/>
    <col width="9" customWidth="1" min="15" max="15"/>
    <col width="12" customWidth="1" min="16" max="16"/>
    <col width="10" customWidth="1" min="17" max="17"/>
    <col width="14" customWidth="1" min="18" max="18"/>
    <col width="12" customWidth="1" min="19" max="19"/>
  </cols>
  <sheetData>
    <row r="1">
      <c r="A1" s="45" t="inlineStr">
        <is>
          <t>Priority Governmental Relationships</t>
        </is>
      </c>
    </row>
    <row r="2">
      <c r="A2" s="2" t="inlineStr">
        <is>
          <t>Where relationship effort goes, who owns each relationship, and whether contact is keeping pace with the cadence you set.</t>
        </is>
      </c>
    </row>
    <row r="3">
      <c r="A3" s="18" t="inlineStr">
        <is>
          <t>Navy headers: enter data. Slate headers with gray cells: calculated, do not overwrite. Row 4 (italic) shows the expected format and is not part of the table.</t>
        </is>
      </c>
    </row>
    <row r="4" ht="64" customHeight="1">
      <c r="A4" s="40" t="inlineStr">
        <is>
          <t>REL-01</t>
        </is>
      </c>
      <c r="B4" s="40" t="inlineStr">
        <is>
          <t>State department of transportation</t>
        </is>
      </c>
      <c r="C4" s="40" t="inlineStr">
        <is>
          <t>State</t>
        </is>
      </c>
      <c r="D4" s="40" t="inlineStr">
        <is>
          <t>Name or title</t>
        </is>
      </c>
      <c r="E4" s="40" t="inlineStr">
        <is>
          <t>Program director</t>
        </is>
      </c>
      <c r="F4" s="40" t="inlineStr">
        <is>
          <t>Name</t>
        </is>
      </c>
      <c r="G4" s="40" t="inlineStr">
        <is>
          <t>Tier 1 Strategic</t>
        </is>
      </c>
      <c r="H4" s="40" t="inlineStr">
        <is>
          <t>Aligned</t>
        </is>
      </c>
      <c r="I4" s="40" t="inlineStr">
        <is>
          <t>Working</t>
        </is>
      </c>
      <c r="J4" s="40" t="inlineStr">
        <is>
          <t>A signed agreement and a formal funding request</t>
        </is>
      </c>
      <c r="K4" s="40" t="inlineStr">
        <is>
          <t>Written funding commitment before the application is finalized</t>
        </is>
      </c>
      <c r="L4" s="40" t="inlineStr">
        <is>
          <t>OBJ-3</t>
        </is>
      </c>
      <c r="M4" s="40" t="inlineStr">
        <is>
          <t>Monthly</t>
        </is>
      </c>
      <c r="N4" s="40" t="inlineStr">
        <is>
          <t>Context a successor would need.</t>
        </is>
      </c>
      <c r="O4" s="47" t="n"/>
      <c r="P4" s="57" t="n"/>
      <c r="Q4" s="47" t="n"/>
      <c r="R4" s="49" t="n"/>
      <c r="S4" s="57" t="n"/>
    </row>
    <row r="5" ht="34" customHeight="1">
      <c r="A5" s="50" t="inlineStr">
        <is>
          <t>ID</t>
        </is>
      </c>
      <c r="B5" s="50" t="inlineStr">
        <is>
          <t>Government or Institution</t>
        </is>
      </c>
      <c r="C5" s="50" t="inlineStr">
        <is>
          <t>Level</t>
        </is>
      </c>
      <c r="D5" s="50" t="inlineStr">
        <is>
          <t>Key Contact</t>
        </is>
      </c>
      <c r="E5" s="50" t="inlineStr">
        <is>
          <t>Contact Title</t>
        </is>
      </c>
      <c r="F5" s="50" t="inlineStr">
        <is>
          <t>Our Lead</t>
        </is>
      </c>
      <c r="G5" s="50" t="inlineStr">
        <is>
          <t>Tier</t>
        </is>
      </c>
      <c r="H5" s="50" t="inlineStr">
        <is>
          <t>Posture</t>
        </is>
      </c>
      <c r="I5" s="50" t="inlineStr">
        <is>
          <t>Relationship Health</t>
        </is>
      </c>
      <c r="J5" s="50" t="inlineStr">
        <is>
          <t>What They Need From Us</t>
        </is>
      </c>
      <c r="K5" s="50" t="inlineStr">
        <is>
          <t>What We Need From Them</t>
        </is>
      </c>
      <c r="L5" s="50" t="inlineStr">
        <is>
          <t>Objective ID</t>
        </is>
      </c>
      <c r="M5" s="50" t="inlineStr">
        <is>
          <t>Cadence</t>
        </is>
      </c>
      <c r="N5" s="50" t="inlineStr">
        <is>
          <t>Notes</t>
        </is>
      </c>
      <c r="O5" s="51" t="inlineStr">
        <is>
          <t>Cadence Days</t>
        </is>
      </c>
      <c r="P5" s="51" t="inlineStr">
        <is>
          <t>Last Contact</t>
        </is>
      </c>
      <c r="Q5" s="51" t="inlineStr">
        <is>
          <t>Days Since Contact</t>
        </is>
      </c>
      <c r="R5" s="51" t="inlineStr">
        <is>
          <t>Contact Status</t>
        </is>
      </c>
      <c r="S5" s="51" t="inlineStr">
        <is>
          <t>Next Planned Contact</t>
        </is>
      </c>
    </row>
    <row r="6">
      <c r="A6" s="52" t="n"/>
      <c r="B6" s="26" t="n"/>
      <c r="C6" s="52" t="n"/>
      <c r="D6" s="26" t="n"/>
      <c r="E6" s="26" t="n"/>
      <c r="F6" s="52" t="n"/>
      <c r="G6" s="26" t="n"/>
      <c r="H6" s="52" t="n"/>
      <c r="I6" s="52" t="n"/>
      <c r="J6" s="26" t="n"/>
      <c r="K6" s="26" t="n"/>
      <c r="L6" s="52" t="n"/>
      <c r="M6" s="52" t="n"/>
      <c r="N6" s="26" t="n"/>
      <c r="O6" s="54" t="str">
        <f>IF(tblRelationships[[#This Row],[Cadence]]="","",IFERROR(INDEX(lstCadenceDays,MATCH(tblRelationships[[#This Row],[Cadence]],lstCadence,0)),""))</f>
        <v/>
      </c>
      <c r="P6"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6" s="54" t="str">
        <f>IF(tblRelationships[[#This Row],[Last Contact]]="","",AsOf-tblRelationships[[#This Row],[Last Contact]])</f>
        <v/>
      </c>
      <c r="R6"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6"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7">
      <c r="A7" s="52" t="n"/>
      <c r="B7" s="26" t="n"/>
      <c r="C7" s="52" t="n"/>
      <c r="D7" s="26" t="n"/>
      <c r="E7" s="26" t="n"/>
      <c r="F7" s="52" t="n"/>
      <c r="G7" s="26" t="n"/>
      <c r="H7" s="52" t="n"/>
      <c r="I7" s="52" t="n"/>
      <c r="J7" s="26" t="n"/>
      <c r="K7" s="26" t="n"/>
      <c r="L7" s="52" t="n"/>
      <c r="M7" s="52" t="n"/>
      <c r="N7" s="26" t="n"/>
      <c r="O7" s="54" t="str">
        <f>IF(tblRelationships[[#This Row],[Cadence]]="","",IFERROR(INDEX(lstCadenceDays,MATCH(tblRelationships[[#This Row],[Cadence]],lstCadence,0)),""))</f>
        <v/>
      </c>
      <c r="P7"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7" s="54" t="str">
        <f>IF(tblRelationships[[#This Row],[Last Contact]]="","",AsOf-tblRelationships[[#This Row],[Last Contact]])</f>
        <v/>
      </c>
      <c r="R7"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7"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8">
      <c r="A8" s="52" t="n"/>
      <c r="B8" s="26" t="n"/>
      <c r="C8" s="52" t="n"/>
      <c r="D8" s="26" t="n"/>
      <c r="E8" s="26" t="n"/>
      <c r="F8" s="52" t="n"/>
      <c r="G8" s="26" t="n"/>
      <c r="H8" s="52" t="n"/>
      <c r="I8" s="52" t="n"/>
      <c r="J8" s="26" t="n"/>
      <c r="K8" s="26" t="n"/>
      <c r="L8" s="52" t="n"/>
      <c r="M8" s="52" t="n"/>
      <c r="N8" s="26" t="n"/>
      <c r="O8" s="54" t="str">
        <f>IF(tblRelationships[[#This Row],[Cadence]]="","",IFERROR(INDEX(lstCadenceDays,MATCH(tblRelationships[[#This Row],[Cadence]],lstCadence,0)),""))</f>
        <v/>
      </c>
      <c r="P8"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8" s="54" t="str">
        <f>IF(tblRelationships[[#This Row],[Last Contact]]="","",AsOf-tblRelationships[[#This Row],[Last Contact]])</f>
        <v/>
      </c>
      <c r="R8"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8"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9">
      <c r="A9" s="52" t="n"/>
      <c r="B9" s="26" t="n"/>
      <c r="C9" s="52" t="n"/>
      <c r="D9" s="26" t="n"/>
      <c r="E9" s="26" t="n"/>
      <c r="F9" s="52" t="n"/>
      <c r="G9" s="26" t="n"/>
      <c r="H9" s="52" t="n"/>
      <c r="I9" s="52" t="n"/>
      <c r="J9" s="26" t="n"/>
      <c r="K9" s="26" t="n"/>
      <c r="L9" s="52" t="n"/>
      <c r="M9" s="52" t="n"/>
      <c r="N9" s="26" t="n"/>
      <c r="O9" s="54" t="str">
        <f>IF(tblRelationships[[#This Row],[Cadence]]="","",IFERROR(INDEX(lstCadenceDays,MATCH(tblRelationships[[#This Row],[Cadence]],lstCadence,0)),""))</f>
        <v/>
      </c>
      <c r="P9"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9" s="54" t="str">
        <f>IF(tblRelationships[[#This Row],[Last Contact]]="","",AsOf-tblRelationships[[#This Row],[Last Contact]])</f>
        <v/>
      </c>
      <c r="R9"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9"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10">
      <c r="A10" s="52" t="n"/>
      <c r="B10" s="26" t="n"/>
      <c r="C10" s="52" t="n"/>
      <c r="D10" s="26" t="n"/>
      <c r="E10" s="26" t="n"/>
      <c r="F10" s="52" t="n"/>
      <c r="G10" s="26" t="n"/>
      <c r="H10" s="52" t="n"/>
      <c r="I10" s="52" t="n"/>
      <c r="J10" s="26" t="n"/>
      <c r="K10" s="26" t="n"/>
      <c r="L10" s="52" t="n"/>
      <c r="M10" s="52" t="n"/>
      <c r="N10" s="26" t="n"/>
      <c r="O10" s="54" t="str">
        <f>IF(tblRelationships[[#This Row],[Cadence]]="","",IFERROR(INDEX(lstCadenceDays,MATCH(tblRelationships[[#This Row],[Cadence]],lstCadence,0)),""))</f>
        <v/>
      </c>
      <c r="P10"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10" s="54" t="str">
        <f>IF(tblRelationships[[#This Row],[Last Contact]]="","",AsOf-tblRelationships[[#This Row],[Last Contact]])</f>
        <v/>
      </c>
      <c r="R10"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10"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11">
      <c r="A11" s="52" t="n"/>
      <c r="B11" s="26" t="n"/>
      <c r="C11" s="52" t="n"/>
      <c r="D11" s="26" t="n"/>
      <c r="E11" s="26" t="n"/>
      <c r="F11" s="52" t="n"/>
      <c r="G11" s="26" t="n"/>
      <c r="H11" s="52" t="n"/>
      <c r="I11" s="52" t="n"/>
      <c r="J11" s="26" t="n"/>
      <c r="K11" s="26" t="n"/>
      <c r="L11" s="52" t="n"/>
      <c r="M11" s="52" t="n"/>
      <c r="N11" s="26" t="n"/>
      <c r="O11" s="54" t="str">
        <f>IF(tblRelationships[[#This Row],[Cadence]]="","",IFERROR(INDEX(lstCadenceDays,MATCH(tblRelationships[[#This Row],[Cadence]],lstCadence,0)),""))</f>
        <v/>
      </c>
      <c r="P11"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11" s="54" t="str">
        <f>IF(tblRelationships[[#This Row],[Last Contact]]="","",AsOf-tblRelationships[[#This Row],[Last Contact]])</f>
        <v/>
      </c>
      <c r="R11"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11"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12">
      <c r="A12" s="52" t="n"/>
      <c r="B12" s="26" t="n"/>
      <c r="C12" s="52" t="n"/>
      <c r="D12" s="26" t="n"/>
      <c r="E12" s="26" t="n"/>
      <c r="F12" s="52" t="n"/>
      <c r="G12" s="26" t="n"/>
      <c r="H12" s="52" t="n"/>
      <c r="I12" s="52" t="n"/>
      <c r="J12" s="26" t="n"/>
      <c r="K12" s="26" t="n"/>
      <c r="L12" s="52" t="n"/>
      <c r="M12" s="52" t="n"/>
      <c r="N12" s="26" t="n"/>
      <c r="O12" s="54" t="str">
        <f>IF(tblRelationships[[#This Row],[Cadence]]="","",IFERROR(INDEX(lstCadenceDays,MATCH(tblRelationships[[#This Row],[Cadence]],lstCadence,0)),""))</f>
        <v/>
      </c>
      <c r="P12"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12" s="54" t="str">
        <f>IF(tblRelationships[[#This Row],[Last Contact]]="","",AsOf-tblRelationships[[#This Row],[Last Contact]])</f>
        <v/>
      </c>
      <c r="R12"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12"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13">
      <c r="A13" s="52" t="n"/>
      <c r="B13" s="26" t="n"/>
      <c r="C13" s="52" t="n"/>
      <c r="D13" s="26" t="n"/>
      <c r="E13" s="26" t="n"/>
      <c r="F13" s="52" t="n"/>
      <c r="G13" s="26" t="n"/>
      <c r="H13" s="52" t="n"/>
      <c r="I13" s="52" t="n"/>
      <c r="J13" s="26" t="n"/>
      <c r="K13" s="26" t="n"/>
      <c r="L13" s="52" t="n"/>
      <c r="M13" s="52" t="n"/>
      <c r="N13" s="26" t="n"/>
      <c r="O13" s="54" t="str">
        <f>IF(tblRelationships[[#This Row],[Cadence]]="","",IFERROR(INDEX(lstCadenceDays,MATCH(tblRelationships[[#This Row],[Cadence]],lstCadence,0)),""))</f>
        <v/>
      </c>
      <c r="P13"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13" s="54" t="str">
        <f>IF(tblRelationships[[#This Row],[Last Contact]]="","",AsOf-tblRelationships[[#This Row],[Last Contact]])</f>
        <v/>
      </c>
      <c r="R13"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13"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14">
      <c r="A14" s="52" t="n"/>
      <c r="B14" s="26" t="n"/>
      <c r="C14" s="52" t="n"/>
      <c r="D14" s="26" t="n"/>
      <c r="E14" s="26" t="n"/>
      <c r="F14" s="52" t="n"/>
      <c r="G14" s="26" t="n"/>
      <c r="H14" s="52" t="n"/>
      <c r="I14" s="52" t="n"/>
      <c r="J14" s="26" t="n"/>
      <c r="K14" s="26" t="n"/>
      <c r="L14" s="52" t="n"/>
      <c r="M14" s="52" t="n"/>
      <c r="N14" s="26" t="n"/>
      <c r="O14" s="54" t="str">
        <f>IF(tblRelationships[[#This Row],[Cadence]]="","",IFERROR(INDEX(lstCadenceDays,MATCH(tblRelationships[[#This Row],[Cadence]],lstCadence,0)),""))</f>
        <v/>
      </c>
      <c r="P14"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14" s="54" t="str">
        <f>IF(tblRelationships[[#This Row],[Last Contact]]="","",AsOf-tblRelationships[[#This Row],[Last Contact]])</f>
        <v/>
      </c>
      <c r="R14"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14"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15">
      <c r="A15" s="52" t="n"/>
      <c r="B15" s="26" t="n"/>
      <c r="C15" s="52" t="n"/>
      <c r="D15" s="26" t="n"/>
      <c r="E15" s="26" t="n"/>
      <c r="F15" s="52" t="n"/>
      <c r="G15" s="26" t="n"/>
      <c r="H15" s="52" t="n"/>
      <c r="I15" s="52" t="n"/>
      <c r="J15" s="26" t="n"/>
      <c r="K15" s="26" t="n"/>
      <c r="L15" s="52" t="n"/>
      <c r="M15" s="52" t="n"/>
      <c r="N15" s="26" t="n"/>
      <c r="O15" s="54" t="str">
        <f>IF(tblRelationships[[#This Row],[Cadence]]="","",IFERROR(INDEX(lstCadenceDays,MATCH(tblRelationships[[#This Row],[Cadence]],lstCadence,0)),""))</f>
        <v/>
      </c>
      <c r="P15"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15" s="54" t="str">
        <f>IF(tblRelationships[[#This Row],[Last Contact]]="","",AsOf-tblRelationships[[#This Row],[Last Contact]])</f>
        <v/>
      </c>
      <c r="R15"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15"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16">
      <c r="A16" s="52" t="n"/>
      <c r="B16" s="26" t="n"/>
      <c r="C16" s="52" t="n"/>
      <c r="D16" s="26" t="n"/>
      <c r="E16" s="26" t="n"/>
      <c r="F16" s="52" t="n"/>
      <c r="G16" s="26" t="n"/>
      <c r="H16" s="52" t="n"/>
      <c r="I16" s="52" t="n"/>
      <c r="J16" s="26" t="n"/>
      <c r="K16" s="26" t="n"/>
      <c r="L16" s="52" t="n"/>
      <c r="M16" s="52" t="n"/>
      <c r="N16" s="26" t="n"/>
      <c r="O16" s="54" t="str">
        <f>IF(tblRelationships[[#This Row],[Cadence]]="","",IFERROR(INDEX(lstCadenceDays,MATCH(tblRelationships[[#This Row],[Cadence]],lstCadence,0)),""))</f>
        <v/>
      </c>
      <c r="P16"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16" s="54" t="str">
        <f>IF(tblRelationships[[#This Row],[Last Contact]]="","",AsOf-tblRelationships[[#This Row],[Last Contact]])</f>
        <v/>
      </c>
      <c r="R16"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16"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17">
      <c r="A17" s="52" t="n"/>
      <c r="B17" s="26" t="n"/>
      <c r="C17" s="52" t="n"/>
      <c r="D17" s="26" t="n"/>
      <c r="E17" s="26" t="n"/>
      <c r="F17" s="52" t="n"/>
      <c r="G17" s="26" t="n"/>
      <c r="H17" s="52" t="n"/>
      <c r="I17" s="52" t="n"/>
      <c r="J17" s="26" t="n"/>
      <c r="K17" s="26" t="n"/>
      <c r="L17" s="52" t="n"/>
      <c r="M17" s="52" t="n"/>
      <c r="N17" s="26" t="n"/>
      <c r="O17" s="54" t="str">
        <f>IF(tblRelationships[[#This Row],[Cadence]]="","",IFERROR(INDEX(lstCadenceDays,MATCH(tblRelationships[[#This Row],[Cadence]],lstCadence,0)),""))</f>
        <v/>
      </c>
      <c r="P17"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17" s="54" t="str">
        <f>IF(tblRelationships[[#This Row],[Last Contact]]="","",AsOf-tblRelationships[[#This Row],[Last Contact]])</f>
        <v/>
      </c>
      <c r="R17"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17"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18">
      <c r="A18" s="52" t="n"/>
      <c r="B18" s="26" t="n"/>
      <c r="C18" s="52" t="n"/>
      <c r="D18" s="26" t="n"/>
      <c r="E18" s="26" t="n"/>
      <c r="F18" s="52" t="n"/>
      <c r="G18" s="26" t="n"/>
      <c r="H18" s="52" t="n"/>
      <c r="I18" s="52" t="n"/>
      <c r="J18" s="26" t="n"/>
      <c r="K18" s="26" t="n"/>
      <c r="L18" s="52" t="n"/>
      <c r="M18" s="52" t="n"/>
      <c r="N18" s="26" t="n"/>
      <c r="O18" s="54" t="str">
        <f>IF(tblRelationships[[#This Row],[Cadence]]="","",IFERROR(INDEX(lstCadenceDays,MATCH(tblRelationships[[#This Row],[Cadence]],lstCadence,0)),""))</f>
        <v/>
      </c>
      <c r="P18"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18" s="54" t="str">
        <f>IF(tblRelationships[[#This Row],[Last Contact]]="","",AsOf-tblRelationships[[#This Row],[Last Contact]])</f>
        <v/>
      </c>
      <c r="R18"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18"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19">
      <c r="A19" s="52" t="n"/>
      <c r="B19" s="26" t="n"/>
      <c r="C19" s="52" t="n"/>
      <c r="D19" s="26" t="n"/>
      <c r="E19" s="26" t="n"/>
      <c r="F19" s="52" t="n"/>
      <c r="G19" s="26" t="n"/>
      <c r="H19" s="52" t="n"/>
      <c r="I19" s="52" t="n"/>
      <c r="J19" s="26" t="n"/>
      <c r="K19" s="26" t="n"/>
      <c r="L19" s="52" t="n"/>
      <c r="M19" s="52" t="n"/>
      <c r="N19" s="26" t="n"/>
      <c r="O19" s="54" t="str">
        <f>IF(tblRelationships[[#This Row],[Cadence]]="","",IFERROR(INDEX(lstCadenceDays,MATCH(tblRelationships[[#This Row],[Cadence]],lstCadence,0)),""))</f>
        <v/>
      </c>
      <c r="P19"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19" s="54" t="str">
        <f>IF(tblRelationships[[#This Row],[Last Contact]]="","",AsOf-tblRelationships[[#This Row],[Last Contact]])</f>
        <v/>
      </c>
      <c r="R19"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19"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20">
      <c r="A20" s="52" t="n"/>
      <c r="B20" s="26" t="n"/>
      <c r="C20" s="52" t="n"/>
      <c r="D20" s="26" t="n"/>
      <c r="E20" s="26" t="n"/>
      <c r="F20" s="52" t="n"/>
      <c r="G20" s="26" t="n"/>
      <c r="H20" s="52" t="n"/>
      <c r="I20" s="52" t="n"/>
      <c r="J20" s="26" t="n"/>
      <c r="K20" s="26" t="n"/>
      <c r="L20" s="52" t="n"/>
      <c r="M20" s="52" t="n"/>
      <c r="N20" s="26" t="n"/>
      <c r="O20" s="54" t="str">
        <f>IF(tblRelationships[[#This Row],[Cadence]]="","",IFERROR(INDEX(lstCadenceDays,MATCH(tblRelationships[[#This Row],[Cadence]],lstCadence,0)),""))</f>
        <v/>
      </c>
      <c r="P20"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20" s="54" t="str">
        <f>IF(tblRelationships[[#This Row],[Last Contact]]="","",AsOf-tblRelationships[[#This Row],[Last Contact]])</f>
        <v/>
      </c>
      <c r="R20"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20"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21">
      <c r="A21" s="52" t="n"/>
      <c r="B21" s="26" t="n"/>
      <c r="C21" s="52" t="n"/>
      <c r="D21" s="26" t="n"/>
      <c r="E21" s="26" t="n"/>
      <c r="F21" s="52" t="n"/>
      <c r="G21" s="26" t="n"/>
      <c r="H21" s="52" t="n"/>
      <c r="I21" s="52" t="n"/>
      <c r="J21" s="26" t="n"/>
      <c r="K21" s="26" t="n"/>
      <c r="L21" s="52" t="n"/>
      <c r="M21" s="52" t="n"/>
      <c r="N21" s="26" t="n"/>
      <c r="O21" s="54" t="str">
        <f>IF(tblRelationships[[#This Row],[Cadence]]="","",IFERROR(INDEX(lstCadenceDays,MATCH(tblRelationships[[#This Row],[Cadence]],lstCadence,0)),""))</f>
        <v/>
      </c>
      <c r="P21"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21" s="54" t="str">
        <f>IF(tblRelationships[[#This Row],[Last Contact]]="","",AsOf-tblRelationships[[#This Row],[Last Contact]])</f>
        <v/>
      </c>
      <c r="R21"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21"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22">
      <c r="A22" s="52" t="n"/>
      <c r="B22" s="26" t="n"/>
      <c r="C22" s="52" t="n"/>
      <c r="D22" s="26" t="n"/>
      <c r="E22" s="26" t="n"/>
      <c r="F22" s="52" t="n"/>
      <c r="G22" s="26" t="n"/>
      <c r="H22" s="52" t="n"/>
      <c r="I22" s="52" t="n"/>
      <c r="J22" s="26" t="n"/>
      <c r="K22" s="26" t="n"/>
      <c r="L22" s="52" t="n"/>
      <c r="M22" s="52" t="n"/>
      <c r="N22" s="26" t="n"/>
      <c r="O22" s="54" t="str">
        <f>IF(tblRelationships[[#This Row],[Cadence]]="","",IFERROR(INDEX(lstCadenceDays,MATCH(tblRelationships[[#This Row],[Cadence]],lstCadence,0)),""))</f>
        <v/>
      </c>
      <c r="P22"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22" s="54" t="str">
        <f>IF(tblRelationships[[#This Row],[Last Contact]]="","",AsOf-tblRelationships[[#This Row],[Last Contact]])</f>
        <v/>
      </c>
      <c r="R22"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22"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23">
      <c r="A23" s="52" t="n"/>
      <c r="B23" s="26" t="n"/>
      <c r="C23" s="52" t="n"/>
      <c r="D23" s="26" t="n"/>
      <c r="E23" s="26" t="n"/>
      <c r="F23" s="52" t="n"/>
      <c r="G23" s="26" t="n"/>
      <c r="H23" s="52" t="n"/>
      <c r="I23" s="52" t="n"/>
      <c r="J23" s="26" t="n"/>
      <c r="K23" s="26" t="n"/>
      <c r="L23" s="52" t="n"/>
      <c r="M23" s="52" t="n"/>
      <c r="N23" s="26" t="n"/>
      <c r="O23" s="54" t="str">
        <f>IF(tblRelationships[[#This Row],[Cadence]]="","",IFERROR(INDEX(lstCadenceDays,MATCH(tblRelationships[[#This Row],[Cadence]],lstCadence,0)),""))</f>
        <v/>
      </c>
      <c r="P23"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23" s="54" t="str">
        <f>IF(tblRelationships[[#This Row],[Last Contact]]="","",AsOf-tblRelationships[[#This Row],[Last Contact]])</f>
        <v/>
      </c>
      <c r="R23"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23"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24">
      <c r="A24" s="52" t="n"/>
      <c r="B24" s="26" t="n"/>
      <c r="C24" s="52" t="n"/>
      <c r="D24" s="26" t="n"/>
      <c r="E24" s="26" t="n"/>
      <c r="F24" s="52" t="n"/>
      <c r="G24" s="26" t="n"/>
      <c r="H24" s="52" t="n"/>
      <c r="I24" s="52" t="n"/>
      <c r="J24" s="26" t="n"/>
      <c r="K24" s="26" t="n"/>
      <c r="L24" s="52" t="n"/>
      <c r="M24" s="52" t="n"/>
      <c r="N24" s="26" t="n"/>
      <c r="O24" s="54" t="str">
        <f>IF(tblRelationships[[#This Row],[Cadence]]="","",IFERROR(INDEX(lstCadenceDays,MATCH(tblRelationships[[#This Row],[Cadence]],lstCadence,0)),""))</f>
        <v/>
      </c>
      <c r="P24"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24" s="54" t="str">
        <f>IF(tblRelationships[[#This Row],[Last Contact]]="","",AsOf-tblRelationships[[#This Row],[Last Contact]])</f>
        <v/>
      </c>
      <c r="R24"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24"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25">
      <c r="A25" s="52" t="n"/>
      <c r="B25" s="26" t="n"/>
      <c r="C25" s="52" t="n"/>
      <c r="D25" s="26" t="n"/>
      <c r="E25" s="26" t="n"/>
      <c r="F25" s="52" t="n"/>
      <c r="G25" s="26" t="n"/>
      <c r="H25" s="52" t="n"/>
      <c r="I25" s="52" t="n"/>
      <c r="J25" s="26" t="n"/>
      <c r="K25" s="26" t="n"/>
      <c r="L25" s="52" t="n"/>
      <c r="M25" s="52" t="n"/>
      <c r="N25" s="26" t="n"/>
      <c r="O25" s="54" t="str">
        <f>IF(tblRelationships[[#This Row],[Cadence]]="","",IFERROR(INDEX(lstCadenceDays,MATCH(tblRelationships[[#This Row],[Cadence]],lstCadence,0)),""))</f>
        <v/>
      </c>
      <c r="P25"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25" s="54" t="str">
        <f>IF(tblRelationships[[#This Row],[Last Contact]]="","",AsOf-tblRelationships[[#This Row],[Last Contact]])</f>
        <v/>
      </c>
      <c r="R25"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25"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26">
      <c r="A26" s="52" t="n"/>
      <c r="B26" s="26" t="n"/>
      <c r="C26" s="52" t="n"/>
      <c r="D26" s="26" t="n"/>
      <c r="E26" s="26" t="n"/>
      <c r="F26" s="52" t="n"/>
      <c r="G26" s="26" t="n"/>
      <c r="H26" s="52" t="n"/>
      <c r="I26" s="52" t="n"/>
      <c r="J26" s="26" t="n"/>
      <c r="K26" s="26" t="n"/>
      <c r="L26" s="52" t="n"/>
      <c r="M26" s="52" t="n"/>
      <c r="N26" s="26" t="n"/>
      <c r="O26" s="54" t="str">
        <f>IF(tblRelationships[[#This Row],[Cadence]]="","",IFERROR(INDEX(lstCadenceDays,MATCH(tblRelationships[[#This Row],[Cadence]],lstCadence,0)),""))</f>
        <v/>
      </c>
      <c r="P26"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26" s="54" t="str">
        <f>IF(tblRelationships[[#This Row],[Last Contact]]="","",AsOf-tblRelationships[[#This Row],[Last Contact]])</f>
        <v/>
      </c>
      <c r="R26"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26"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27">
      <c r="A27" s="52" t="n"/>
      <c r="B27" s="26" t="n"/>
      <c r="C27" s="52" t="n"/>
      <c r="D27" s="26" t="n"/>
      <c r="E27" s="26" t="n"/>
      <c r="F27" s="52" t="n"/>
      <c r="G27" s="26" t="n"/>
      <c r="H27" s="52" t="n"/>
      <c r="I27" s="52" t="n"/>
      <c r="J27" s="26" t="n"/>
      <c r="K27" s="26" t="n"/>
      <c r="L27" s="52" t="n"/>
      <c r="M27" s="52" t="n"/>
      <c r="N27" s="26" t="n"/>
      <c r="O27" s="54" t="str">
        <f>IF(tblRelationships[[#This Row],[Cadence]]="","",IFERROR(INDEX(lstCadenceDays,MATCH(tblRelationships[[#This Row],[Cadence]],lstCadence,0)),""))</f>
        <v/>
      </c>
      <c r="P27"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27" s="54" t="str">
        <f>IF(tblRelationships[[#This Row],[Last Contact]]="","",AsOf-tblRelationships[[#This Row],[Last Contact]])</f>
        <v/>
      </c>
      <c r="R27"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27"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28">
      <c r="A28" s="52" t="n"/>
      <c r="B28" s="26" t="n"/>
      <c r="C28" s="52" t="n"/>
      <c r="D28" s="26" t="n"/>
      <c r="E28" s="26" t="n"/>
      <c r="F28" s="52" t="n"/>
      <c r="G28" s="26" t="n"/>
      <c r="H28" s="52" t="n"/>
      <c r="I28" s="52" t="n"/>
      <c r="J28" s="26" t="n"/>
      <c r="K28" s="26" t="n"/>
      <c r="L28" s="52" t="n"/>
      <c r="M28" s="52" t="n"/>
      <c r="N28" s="26" t="n"/>
      <c r="O28" s="54" t="str">
        <f>IF(tblRelationships[[#This Row],[Cadence]]="","",IFERROR(INDEX(lstCadenceDays,MATCH(tblRelationships[[#This Row],[Cadence]],lstCadence,0)),""))</f>
        <v/>
      </c>
      <c r="P28"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28" s="54" t="str">
        <f>IF(tblRelationships[[#This Row],[Last Contact]]="","",AsOf-tblRelationships[[#This Row],[Last Contact]])</f>
        <v/>
      </c>
      <c r="R28"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28"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29">
      <c r="A29" s="52" t="n"/>
      <c r="B29" s="26" t="n"/>
      <c r="C29" s="52" t="n"/>
      <c r="D29" s="26" t="n"/>
      <c r="E29" s="26" t="n"/>
      <c r="F29" s="52" t="n"/>
      <c r="G29" s="26" t="n"/>
      <c r="H29" s="52" t="n"/>
      <c r="I29" s="52" t="n"/>
      <c r="J29" s="26" t="n"/>
      <c r="K29" s="26" t="n"/>
      <c r="L29" s="52" t="n"/>
      <c r="M29" s="52" t="n"/>
      <c r="N29" s="26" t="n"/>
      <c r="O29" s="54" t="str">
        <f>IF(tblRelationships[[#This Row],[Cadence]]="","",IFERROR(INDEX(lstCadenceDays,MATCH(tblRelationships[[#This Row],[Cadence]],lstCadence,0)),""))</f>
        <v/>
      </c>
      <c r="P29"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29" s="54" t="str">
        <f>IF(tblRelationships[[#This Row],[Last Contact]]="","",AsOf-tblRelationships[[#This Row],[Last Contact]])</f>
        <v/>
      </c>
      <c r="R29"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29"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30">
      <c r="A30" s="52" t="n"/>
      <c r="B30" s="26" t="n"/>
      <c r="C30" s="52" t="n"/>
      <c r="D30" s="26" t="n"/>
      <c r="E30" s="26" t="n"/>
      <c r="F30" s="52" t="n"/>
      <c r="G30" s="26" t="n"/>
      <c r="H30" s="52" t="n"/>
      <c r="I30" s="52" t="n"/>
      <c r="J30" s="26" t="n"/>
      <c r="K30" s="26" t="n"/>
      <c r="L30" s="52" t="n"/>
      <c r="M30" s="52" t="n"/>
      <c r="N30" s="26" t="n"/>
      <c r="O30" s="54" t="str">
        <f>IF(tblRelationships[[#This Row],[Cadence]]="","",IFERROR(INDEX(lstCadenceDays,MATCH(tblRelationships[[#This Row],[Cadence]],lstCadence,0)),""))</f>
        <v/>
      </c>
      <c r="P30"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30" s="54" t="str">
        <f>IF(tblRelationships[[#This Row],[Last Contact]]="","",AsOf-tblRelationships[[#This Row],[Last Contact]])</f>
        <v/>
      </c>
      <c r="R30"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30"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31">
      <c r="A31" s="52" t="n"/>
      <c r="B31" s="26" t="n"/>
      <c r="C31" s="52" t="n"/>
      <c r="D31" s="26" t="n"/>
      <c r="E31" s="26" t="n"/>
      <c r="F31" s="52" t="n"/>
      <c r="G31" s="26" t="n"/>
      <c r="H31" s="52" t="n"/>
      <c r="I31" s="52" t="n"/>
      <c r="J31" s="26" t="n"/>
      <c r="K31" s="26" t="n"/>
      <c r="L31" s="52" t="n"/>
      <c r="M31" s="52" t="n"/>
      <c r="N31" s="26" t="n"/>
      <c r="O31" s="54" t="str">
        <f>IF(tblRelationships[[#This Row],[Cadence]]="","",IFERROR(INDEX(lstCadenceDays,MATCH(tblRelationships[[#This Row],[Cadence]],lstCadence,0)),""))</f>
        <v/>
      </c>
      <c r="P31"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31" s="54" t="str">
        <f>IF(tblRelationships[[#This Row],[Last Contact]]="","",AsOf-tblRelationships[[#This Row],[Last Contact]])</f>
        <v/>
      </c>
      <c r="R31"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31"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32">
      <c r="A32" s="52" t="n"/>
      <c r="B32" s="26" t="n"/>
      <c r="C32" s="52" t="n"/>
      <c r="D32" s="26" t="n"/>
      <c r="E32" s="26" t="n"/>
      <c r="F32" s="52" t="n"/>
      <c r="G32" s="26" t="n"/>
      <c r="H32" s="52" t="n"/>
      <c r="I32" s="52" t="n"/>
      <c r="J32" s="26" t="n"/>
      <c r="K32" s="26" t="n"/>
      <c r="L32" s="52" t="n"/>
      <c r="M32" s="52" t="n"/>
      <c r="N32" s="26" t="n"/>
      <c r="O32" s="54" t="str">
        <f>IF(tblRelationships[[#This Row],[Cadence]]="","",IFERROR(INDEX(lstCadenceDays,MATCH(tblRelationships[[#This Row],[Cadence]],lstCadence,0)),""))</f>
        <v/>
      </c>
      <c r="P32"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32" s="54" t="str">
        <f>IF(tblRelationships[[#This Row],[Last Contact]]="","",AsOf-tblRelationships[[#This Row],[Last Contact]])</f>
        <v/>
      </c>
      <c r="R32"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32"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33">
      <c r="A33" s="52" t="n"/>
      <c r="B33" s="26" t="n"/>
      <c r="C33" s="52" t="n"/>
      <c r="D33" s="26" t="n"/>
      <c r="E33" s="26" t="n"/>
      <c r="F33" s="52" t="n"/>
      <c r="G33" s="26" t="n"/>
      <c r="H33" s="52" t="n"/>
      <c r="I33" s="52" t="n"/>
      <c r="J33" s="26" t="n"/>
      <c r="K33" s="26" t="n"/>
      <c r="L33" s="52" t="n"/>
      <c r="M33" s="52" t="n"/>
      <c r="N33" s="26" t="n"/>
      <c r="O33" s="54" t="str">
        <f>IF(tblRelationships[[#This Row],[Cadence]]="","",IFERROR(INDEX(lstCadenceDays,MATCH(tblRelationships[[#This Row],[Cadence]],lstCadence,0)),""))</f>
        <v/>
      </c>
      <c r="P33"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33" s="54" t="str">
        <f>IF(tblRelationships[[#This Row],[Last Contact]]="","",AsOf-tblRelationships[[#This Row],[Last Contact]])</f>
        <v/>
      </c>
      <c r="R33"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33"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34">
      <c r="A34" s="52" t="n"/>
      <c r="B34" s="26" t="n"/>
      <c r="C34" s="52" t="n"/>
      <c r="D34" s="26" t="n"/>
      <c r="E34" s="26" t="n"/>
      <c r="F34" s="52" t="n"/>
      <c r="G34" s="26" t="n"/>
      <c r="H34" s="52" t="n"/>
      <c r="I34" s="52" t="n"/>
      <c r="J34" s="26" t="n"/>
      <c r="K34" s="26" t="n"/>
      <c r="L34" s="52" t="n"/>
      <c r="M34" s="52" t="n"/>
      <c r="N34" s="26" t="n"/>
      <c r="O34" s="54" t="str">
        <f>IF(tblRelationships[[#This Row],[Cadence]]="","",IFERROR(INDEX(lstCadenceDays,MATCH(tblRelationships[[#This Row],[Cadence]],lstCadence,0)),""))</f>
        <v/>
      </c>
      <c r="P34"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34" s="54" t="str">
        <f>IF(tblRelationships[[#This Row],[Last Contact]]="","",AsOf-tblRelationships[[#This Row],[Last Contact]])</f>
        <v/>
      </c>
      <c r="R34"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34"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35">
      <c r="A35" s="52" t="n"/>
      <c r="B35" s="26" t="n"/>
      <c r="C35" s="52" t="n"/>
      <c r="D35" s="26" t="n"/>
      <c r="E35" s="26" t="n"/>
      <c r="F35" s="52" t="n"/>
      <c r="G35" s="26" t="n"/>
      <c r="H35" s="52" t="n"/>
      <c r="I35" s="52" t="n"/>
      <c r="J35" s="26" t="n"/>
      <c r="K35" s="26" t="n"/>
      <c r="L35" s="52" t="n"/>
      <c r="M35" s="52" t="n"/>
      <c r="N35" s="26" t="n"/>
      <c r="O35" s="54" t="str">
        <f>IF(tblRelationships[[#This Row],[Cadence]]="","",IFERROR(INDEX(lstCadenceDays,MATCH(tblRelationships[[#This Row],[Cadence]],lstCadence,0)),""))</f>
        <v/>
      </c>
      <c r="P35"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35" s="54" t="str">
        <f>IF(tblRelationships[[#This Row],[Last Contact]]="","",AsOf-tblRelationships[[#This Row],[Last Contact]])</f>
        <v/>
      </c>
      <c r="R35"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35"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36">
      <c r="A36" s="52" t="n"/>
      <c r="B36" s="26" t="n"/>
      <c r="C36" s="52" t="n"/>
      <c r="D36" s="26" t="n"/>
      <c r="E36" s="26" t="n"/>
      <c r="F36" s="52" t="n"/>
      <c r="G36" s="26" t="n"/>
      <c r="H36" s="52" t="n"/>
      <c r="I36" s="52" t="n"/>
      <c r="J36" s="26" t="n"/>
      <c r="K36" s="26" t="n"/>
      <c r="L36" s="52" t="n"/>
      <c r="M36" s="52" t="n"/>
      <c r="N36" s="26" t="n"/>
      <c r="O36" s="54" t="str">
        <f>IF(tblRelationships[[#This Row],[Cadence]]="","",IFERROR(INDEX(lstCadenceDays,MATCH(tblRelationships[[#This Row],[Cadence]],lstCadence,0)),""))</f>
        <v/>
      </c>
      <c r="P36"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36" s="54" t="str">
        <f>IF(tblRelationships[[#This Row],[Last Contact]]="","",AsOf-tblRelationships[[#This Row],[Last Contact]])</f>
        <v/>
      </c>
      <c r="R36"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36"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37">
      <c r="A37" s="52" t="n"/>
      <c r="B37" s="26" t="n"/>
      <c r="C37" s="52" t="n"/>
      <c r="D37" s="26" t="n"/>
      <c r="E37" s="26" t="n"/>
      <c r="F37" s="52" t="n"/>
      <c r="G37" s="26" t="n"/>
      <c r="H37" s="52" t="n"/>
      <c r="I37" s="52" t="n"/>
      <c r="J37" s="26" t="n"/>
      <c r="K37" s="26" t="n"/>
      <c r="L37" s="52" t="n"/>
      <c r="M37" s="52" t="n"/>
      <c r="N37" s="26" t="n"/>
      <c r="O37" s="54" t="str">
        <f>IF(tblRelationships[[#This Row],[Cadence]]="","",IFERROR(INDEX(lstCadenceDays,MATCH(tblRelationships[[#This Row],[Cadence]],lstCadence,0)),""))</f>
        <v/>
      </c>
      <c r="P37"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37" s="54" t="str">
        <f>IF(tblRelationships[[#This Row],[Last Contact]]="","",AsOf-tblRelationships[[#This Row],[Last Contact]])</f>
        <v/>
      </c>
      <c r="R37"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37"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38">
      <c r="A38" s="52" t="n"/>
      <c r="B38" s="26" t="n"/>
      <c r="C38" s="52" t="n"/>
      <c r="D38" s="26" t="n"/>
      <c r="E38" s="26" t="n"/>
      <c r="F38" s="52" t="n"/>
      <c r="G38" s="26" t="n"/>
      <c r="H38" s="52" t="n"/>
      <c r="I38" s="52" t="n"/>
      <c r="J38" s="26" t="n"/>
      <c r="K38" s="26" t="n"/>
      <c r="L38" s="52" t="n"/>
      <c r="M38" s="52" t="n"/>
      <c r="N38" s="26" t="n"/>
      <c r="O38" s="54" t="str">
        <f>IF(tblRelationships[[#This Row],[Cadence]]="","",IFERROR(INDEX(lstCadenceDays,MATCH(tblRelationships[[#This Row],[Cadence]],lstCadence,0)),""))</f>
        <v/>
      </c>
      <c r="P38"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38" s="54" t="str">
        <f>IF(tblRelationships[[#This Row],[Last Contact]]="","",AsOf-tblRelationships[[#This Row],[Last Contact]])</f>
        <v/>
      </c>
      <c r="R38"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38"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39">
      <c r="A39" s="52" t="n"/>
      <c r="B39" s="26" t="n"/>
      <c r="C39" s="52" t="n"/>
      <c r="D39" s="26" t="n"/>
      <c r="E39" s="26" t="n"/>
      <c r="F39" s="52" t="n"/>
      <c r="G39" s="26" t="n"/>
      <c r="H39" s="52" t="n"/>
      <c r="I39" s="52" t="n"/>
      <c r="J39" s="26" t="n"/>
      <c r="K39" s="26" t="n"/>
      <c r="L39" s="52" t="n"/>
      <c r="M39" s="52" t="n"/>
      <c r="N39" s="26" t="n"/>
      <c r="O39" s="54" t="str">
        <f>IF(tblRelationships[[#This Row],[Cadence]]="","",IFERROR(INDEX(lstCadenceDays,MATCH(tblRelationships[[#This Row],[Cadence]],lstCadence,0)),""))</f>
        <v/>
      </c>
      <c r="P39"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39" s="54" t="str">
        <f>IF(tblRelationships[[#This Row],[Last Contact]]="","",AsOf-tblRelationships[[#This Row],[Last Contact]])</f>
        <v/>
      </c>
      <c r="R39"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39"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40">
      <c r="A40" s="52" t="n"/>
      <c r="B40" s="26" t="n"/>
      <c r="C40" s="52" t="n"/>
      <c r="D40" s="26" t="n"/>
      <c r="E40" s="26" t="n"/>
      <c r="F40" s="52" t="n"/>
      <c r="G40" s="26" t="n"/>
      <c r="H40" s="52" t="n"/>
      <c r="I40" s="52" t="n"/>
      <c r="J40" s="26" t="n"/>
      <c r="K40" s="26" t="n"/>
      <c r="L40" s="52" t="n"/>
      <c r="M40" s="52" t="n"/>
      <c r="N40" s="26" t="n"/>
      <c r="O40" s="54" t="str">
        <f>IF(tblRelationships[[#This Row],[Cadence]]="","",IFERROR(INDEX(lstCadenceDays,MATCH(tblRelationships[[#This Row],[Cadence]],lstCadence,0)),""))</f>
        <v/>
      </c>
      <c r="P40"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40" s="54" t="str">
        <f>IF(tblRelationships[[#This Row],[Last Contact]]="","",AsOf-tblRelationships[[#This Row],[Last Contact]])</f>
        <v/>
      </c>
      <c r="R40"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40"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41">
      <c r="A41" s="52" t="n"/>
      <c r="B41" s="26" t="n"/>
      <c r="C41" s="52" t="n"/>
      <c r="D41" s="26" t="n"/>
      <c r="E41" s="26" t="n"/>
      <c r="F41" s="52" t="n"/>
      <c r="G41" s="26" t="n"/>
      <c r="H41" s="52" t="n"/>
      <c r="I41" s="52" t="n"/>
      <c r="J41" s="26" t="n"/>
      <c r="K41" s="26" t="n"/>
      <c r="L41" s="52" t="n"/>
      <c r="M41" s="52" t="n"/>
      <c r="N41" s="26" t="n"/>
      <c r="O41" s="54" t="str">
        <f>IF(tblRelationships[[#This Row],[Cadence]]="","",IFERROR(INDEX(lstCadenceDays,MATCH(tblRelationships[[#This Row],[Cadence]],lstCadence,0)),""))</f>
        <v/>
      </c>
      <c r="P41"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41" s="54" t="str">
        <f>IF(tblRelationships[[#This Row],[Last Contact]]="","",AsOf-tblRelationships[[#This Row],[Last Contact]])</f>
        <v/>
      </c>
      <c r="R41"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41"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42">
      <c r="A42" s="52" t="n"/>
      <c r="B42" s="26" t="n"/>
      <c r="C42" s="52" t="n"/>
      <c r="D42" s="26" t="n"/>
      <c r="E42" s="26" t="n"/>
      <c r="F42" s="52" t="n"/>
      <c r="G42" s="26" t="n"/>
      <c r="H42" s="52" t="n"/>
      <c r="I42" s="52" t="n"/>
      <c r="J42" s="26" t="n"/>
      <c r="K42" s="26" t="n"/>
      <c r="L42" s="52" t="n"/>
      <c r="M42" s="52" t="n"/>
      <c r="N42" s="26" t="n"/>
      <c r="O42" s="54" t="str">
        <f>IF(tblRelationships[[#This Row],[Cadence]]="","",IFERROR(INDEX(lstCadenceDays,MATCH(tblRelationships[[#This Row],[Cadence]],lstCadence,0)),""))</f>
        <v/>
      </c>
      <c r="P42"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42" s="54" t="str">
        <f>IF(tblRelationships[[#This Row],[Last Contact]]="","",AsOf-tblRelationships[[#This Row],[Last Contact]])</f>
        <v/>
      </c>
      <c r="R42"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42"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43">
      <c r="A43" s="52" t="n"/>
      <c r="B43" s="26" t="n"/>
      <c r="C43" s="52" t="n"/>
      <c r="D43" s="26" t="n"/>
      <c r="E43" s="26" t="n"/>
      <c r="F43" s="52" t="n"/>
      <c r="G43" s="26" t="n"/>
      <c r="H43" s="52" t="n"/>
      <c r="I43" s="52" t="n"/>
      <c r="J43" s="26" t="n"/>
      <c r="K43" s="26" t="n"/>
      <c r="L43" s="52" t="n"/>
      <c r="M43" s="52" t="n"/>
      <c r="N43" s="26" t="n"/>
      <c r="O43" s="54" t="str">
        <f>IF(tblRelationships[[#This Row],[Cadence]]="","",IFERROR(INDEX(lstCadenceDays,MATCH(tblRelationships[[#This Row],[Cadence]],lstCadence,0)),""))</f>
        <v/>
      </c>
      <c r="P43"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43" s="54" t="str">
        <f>IF(tblRelationships[[#This Row],[Last Contact]]="","",AsOf-tblRelationships[[#This Row],[Last Contact]])</f>
        <v/>
      </c>
      <c r="R43"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43"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44">
      <c r="A44" s="52" t="n"/>
      <c r="B44" s="26" t="n"/>
      <c r="C44" s="52" t="n"/>
      <c r="D44" s="26" t="n"/>
      <c r="E44" s="26" t="n"/>
      <c r="F44" s="52" t="n"/>
      <c r="G44" s="26" t="n"/>
      <c r="H44" s="52" t="n"/>
      <c r="I44" s="52" t="n"/>
      <c r="J44" s="26" t="n"/>
      <c r="K44" s="26" t="n"/>
      <c r="L44" s="52" t="n"/>
      <c r="M44" s="52" t="n"/>
      <c r="N44" s="26" t="n"/>
      <c r="O44" s="54" t="str">
        <f>IF(tblRelationships[[#This Row],[Cadence]]="","",IFERROR(INDEX(lstCadenceDays,MATCH(tblRelationships[[#This Row],[Cadence]],lstCadence,0)),""))</f>
        <v/>
      </c>
      <c r="P44"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44" s="54" t="str">
        <f>IF(tblRelationships[[#This Row],[Last Contact]]="","",AsOf-tblRelationships[[#This Row],[Last Contact]])</f>
        <v/>
      </c>
      <c r="R44"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44"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45">
      <c r="A45" s="52" t="n"/>
      <c r="B45" s="26" t="n"/>
      <c r="C45" s="52" t="n"/>
      <c r="D45" s="26" t="n"/>
      <c r="E45" s="26" t="n"/>
      <c r="F45" s="52" t="n"/>
      <c r="G45" s="26" t="n"/>
      <c r="H45" s="52" t="n"/>
      <c r="I45" s="52" t="n"/>
      <c r="J45" s="26" t="n"/>
      <c r="K45" s="26" t="n"/>
      <c r="L45" s="52" t="n"/>
      <c r="M45" s="52" t="n"/>
      <c r="N45" s="26" t="n"/>
      <c r="O45" s="54" t="str">
        <f>IF(tblRelationships[[#This Row],[Cadence]]="","",IFERROR(INDEX(lstCadenceDays,MATCH(tblRelationships[[#This Row],[Cadence]],lstCadence,0)),""))</f>
        <v/>
      </c>
      <c r="P45" s="58"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45" s="54" t="str">
        <f>IF(tblRelationships[[#This Row],[Last Contact]]="","",AsOf-tblRelationships[[#This Row],[Last Contact]])</f>
        <v/>
      </c>
      <c r="R45" s="56"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45" s="58"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sheetData>
  <conditionalFormatting sqref="R6:R45">
    <cfRule type="cellIs" priority="1" operator="equal" dxfId="1">
      <formula>"Current"</formula>
    </cfRule>
    <cfRule type="cellIs" priority="2" operator="equal" dxfId="3">
      <formula>"Due Soon"</formula>
    </cfRule>
    <cfRule type="cellIs" priority="3" operator="equal" dxfId="4">
      <formula>"Overdue"</formula>
    </cfRule>
    <cfRule type="cellIs" priority="4" operator="equal" dxfId="4">
      <formula>"No Contact Logged"</formula>
    </cfRule>
  </conditionalFormatting>
  <conditionalFormatting sqref="I6:I45">
    <cfRule type="cellIs" priority="5" operator="equal" dxfId="4">
      <formula>"Strained"</formula>
    </cfRule>
    <cfRule type="cellIs" priority="6" operator="equal" dxfId="1">
      <formula>"Strong"</formula>
    </cfRule>
  </conditionalFormatting>
  <conditionalFormatting sqref="H6:H45">
    <cfRule type="cellIs" priority="7" operator="equal" dxfId="4">
      <formula>"Divergent"</formula>
    </cfRule>
    <cfRule type="cellIs" priority="8" operator="equal" dxfId="9">
      <formula>"Mixed"</formula>
    </cfRule>
  </conditionalFormatting>
  <dataValidations count="7">
    <dataValidation sqref="C6:C45" showDropDown="0" showInputMessage="0" showErrorMessage="1" allowBlank="1" errorTitle="Choose from the list" error="Pick a value from the dropdown. Edit the lists on the Lists sheet." type="list" errorStyle="stop">
      <formula1>=lstLevel</formula1>
    </dataValidation>
    <dataValidation sqref="F6:F45" showDropDown="0" showInputMessage="0" showErrorMessage="1" allowBlank="1" errorTitle="Name not on the People list" error="This name is not on the People list on the Lists sheet. Add it there, or continue to keep what you typed." type="list" errorStyle="warning">
      <formula1>=lstPeople</formula1>
    </dataValidation>
    <dataValidation sqref="G6:G45" showDropDown="0" showInputMessage="0" showErrorMessage="1" allowBlank="1" errorTitle="Choose from the list" error="Pick a value from the dropdown. Edit the lists on the Lists sheet." type="list" errorStyle="stop">
      <formula1>=lstTier</formula1>
    </dataValidation>
    <dataValidation sqref="H6:H45" showDropDown="0" showInputMessage="0" showErrorMessage="1" allowBlank="1" errorTitle="Choose from the list" error="Pick a value from the dropdown. Edit the lists on the Lists sheet." type="list" errorStyle="stop">
      <formula1>=lstPosture</formula1>
    </dataValidation>
    <dataValidation sqref="I6:I45" showDropDown="0" showInputMessage="0" showErrorMessage="1" allowBlank="1" errorTitle="Choose from the list" error="Pick a value from the dropdown. Edit the lists on the Lists sheet." type="list" errorStyle="stop">
      <formula1>=lstHealth</formula1>
    </dataValidation>
    <dataValidation sqref="L6:L45" showDropDown="0" showInputMessage="0" showErrorMessage="1" allowBlank="1" errorTitle="Choose from the list" error="Pick a value from the dropdown. Edit the lists on the Lists sheet." type="list" errorStyle="stop">
      <formula1>=rngObjIDs</formula1>
    </dataValidation>
    <dataValidation sqref="M6:M45" showDropDown="0" showInputMessage="0" showErrorMessage="1" allowBlank="1" errorTitle="Choose from the list" error="Pick a value from the dropdown. Edit the lists on the Lists sheet." type="list" errorStyle="stop">
      <formula1>=lstCadence</formula1>
    </dataValidation>
  </dataValidations>
  <pageMargins left="0.5" right="0.5" top="1" bottom="1" header="0.5" footer="0.5"/>
  <pageSetup orientation="landscape" fitToHeight="0" fitToWidth="1"/>
  <headerFooter>
    <oddHeader/>
    <oddFooter>&amp;L&amp;8 Intergov Association | Strategic Plan Tracker&amp;R&amp;8 &amp;A | Page &amp;P of &amp;N</oddFooter>
    <evenHeader/>
    <evenFooter/>
    <firstHeader/>
    <firstFooter/>
  </headerFooter>
  <tableParts count="1">
    <tablePart xmlns:r="http://schemas.openxmlformats.org/officeDocument/2006/relationships" r:id="rId1"/>
  </tableParts>
</worksheet>
</file>

<file path=xl/worksheets/sheet5.xml><?xml version="1.0" encoding="utf-8"?>
<worksheet xmlns="http://schemas.openxmlformats.org/spreadsheetml/2006/main">
  <sheetPr>
    <tabColor rgb="00192E43"/>
    <outlinePr summaryBelow="1" summaryRight="1"/>
    <pageSetUpPr fitToPage="1"/>
  </sheetPr>
  <dimension ref="A1:U35"/>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9" customWidth="1" min="1" max="1"/>
    <col width="14" customWidth="1" min="2" max="2"/>
    <col width="16" customWidth="1" min="3" max="3"/>
    <col width="38" customWidth="1" min="4" max="4"/>
    <col width="24" customWidth="1" min="5" max="5"/>
    <col width="11" customWidth="1" min="6" max="6"/>
    <col width="12" customWidth="1" min="7" max="7"/>
    <col width="11" customWidth="1" min="8" max="8"/>
    <col width="16" customWidth="1" min="9" max="9"/>
    <col width="18" customWidth="1" min="10" max="10"/>
    <col width="13" customWidth="1" min="11" max="11"/>
    <col width="12" customWidth="1" min="12" max="12"/>
    <col width="24" customWidth="1" min="13" max="13"/>
    <col width="38" customWidth="1" min="14" max="14"/>
    <col width="38" customWidth="1" min="15" max="15"/>
    <col width="10" customWidth="1" min="16" max="16"/>
    <col width="14" customWidth="1" min="17" max="17"/>
    <col width="7" customWidth="1" min="18" max="18"/>
    <col width="22" customWidth="1" min="19" max="19"/>
    <col width="9" customWidth="1" min="20" max="20"/>
    <col width="9" customWidth="1" min="21" max="21"/>
  </cols>
  <sheetData>
    <row r="1">
      <c r="A1" s="45" t="inlineStr">
        <is>
          <t>Legislative and Administrative Priorities</t>
        </is>
      </c>
    </row>
    <row r="2">
      <c r="A2" s="2" t="inlineStr">
        <is>
          <t>Bills, budget items, rules, grants, approvals, and agreements you are working, with positions, clearance, and key dates.</t>
        </is>
      </c>
    </row>
    <row r="3">
      <c r="A3" s="18" t="inlineStr">
        <is>
          <t>Navy headers: enter data. Slate headers with gray cells: calculated, do not overwrite. Row 4 (italic) shows the expected format and is not part of the table.</t>
        </is>
      </c>
    </row>
    <row r="4" ht="64" customHeight="1">
      <c r="A4" s="40" t="inlineStr">
        <is>
          <t>LEG-01</t>
        </is>
      </c>
      <c r="B4" s="40" t="inlineStr">
        <is>
          <t>Legislative</t>
        </is>
      </c>
      <c r="C4" s="40" t="inlineStr">
        <is>
          <t>Bill</t>
        </is>
      </c>
      <c r="D4" s="40" t="inlineStr">
        <is>
          <t>HB 100, Local Funding Authorization</t>
        </is>
      </c>
      <c r="E4" s="40" t="inlineStr">
        <is>
          <t>State legislature</t>
        </is>
      </c>
      <c r="F4" s="40" t="inlineStr">
        <is>
          <t>State</t>
        </is>
      </c>
      <c r="G4" s="40" t="inlineStr">
        <is>
          <t>Support</t>
        </is>
      </c>
      <c r="H4" s="40" t="inlineStr">
        <is>
          <t>OBJ-1</t>
        </is>
      </c>
      <c r="I4" s="40" t="inlineStr">
        <is>
          <t>Name</t>
        </is>
      </c>
      <c r="J4" s="40" t="inlineStr">
        <is>
          <t>Active Consideration</t>
        </is>
      </c>
      <c r="K4" s="40" t="inlineStr">
        <is>
          <t>Cleared</t>
        </is>
      </c>
      <c r="L4" s="46" t="n">
        <v>46491</v>
      </c>
      <c r="M4" s="40" t="inlineStr">
        <is>
          <t>Committee vote</t>
        </is>
      </c>
      <c r="N4" s="40" t="inlineStr">
        <is>
          <t>Enactment with the authority and terms the objective requires</t>
        </is>
      </c>
      <c r="O4" s="40" t="inlineStr">
        <is>
          <t>Competing interests, conditions, and links to other items.</t>
        </is>
      </c>
      <c r="P4" s="47" t="n"/>
      <c r="Q4" s="49" t="n"/>
      <c r="R4" s="47" t="n"/>
      <c r="S4" s="49" t="n"/>
      <c r="T4" s="47" t="n"/>
      <c r="U4" s="47" t="n"/>
    </row>
    <row r="5" ht="34" customHeight="1">
      <c r="A5" s="50" t="inlineStr">
        <is>
          <t>ID</t>
        </is>
      </c>
      <c r="B5" s="50" t="inlineStr">
        <is>
          <t>Track</t>
        </is>
      </c>
      <c r="C5" s="50" t="inlineStr">
        <is>
          <t>Item Type</t>
        </is>
      </c>
      <c r="D5" s="50" t="inlineStr">
        <is>
          <t>Measure or Matter</t>
        </is>
      </c>
      <c r="E5" s="50" t="inlineStr">
        <is>
          <t>Body or Agency</t>
        </is>
      </c>
      <c r="F5" s="50" t="inlineStr">
        <is>
          <t>Level</t>
        </is>
      </c>
      <c r="G5" s="50" t="inlineStr">
        <is>
          <t>Our Position</t>
        </is>
      </c>
      <c r="H5" s="50" t="inlineStr">
        <is>
          <t>Objective ID</t>
        </is>
      </c>
      <c r="I5" s="50" t="inlineStr">
        <is>
          <t>Lead</t>
        </is>
      </c>
      <c r="J5" s="50" t="inlineStr">
        <is>
          <t>Stage</t>
        </is>
      </c>
      <c r="K5" s="50" t="inlineStr">
        <is>
          <t>Clearance</t>
        </is>
      </c>
      <c r="L5" s="50" t="inlineStr">
        <is>
          <t>Next Key Date</t>
        </is>
      </c>
      <c r="M5" s="50" t="inlineStr">
        <is>
          <t>Key Date Description</t>
        </is>
      </c>
      <c r="N5" s="50" t="inlineStr">
        <is>
          <t>Desired Outcome</t>
        </is>
      </c>
      <c r="O5" s="50" t="inlineStr">
        <is>
          <t>Notes</t>
        </is>
      </c>
      <c r="P5" s="51" t="inlineStr">
        <is>
          <t>Days to Key Date</t>
        </is>
      </c>
      <c r="Q5" s="51" t="inlineStr">
        <is>
          <t>Date Flag</t>
        </is>
      </c>
      <c r="R5" s="51" t="inlineStr">
        <is>
          <t>Open</t>
        </is>
      </c>
      <c r="S5" s="51" t="inlineStr">
        <is>
          <t>Attention</t>
        </is>
      </c>
      <c r="T5" s="51" t="inlineStr">
        <is>
          <t>Open Actions</t>
        </is>
      </c>
      <c r="U5" s="51" t="inlineStr">
        <is>
          <t>Upcoming Rank</t>
        </is>
      </c>
    </row>
    <row r="6">
      <c r="A6" s="52" t="n"/>
      <c r="B6" s="52" t="n"/>
      <c r="C6" s="26" t="n"/>
      <c r="D6" s="26" t="n"/>
      <c r="E6" s="26" t="n"/>
      <c r="F6" s="52" t="n"/>
      <c r="G6" s="52" t="n"/>
      <c r="H6" s="52" t="n"/>
      <c r="I6" s="52" t="n"/>
      <c r="J6" s="26" t="n"/>
      <c r="K6" s="52" t="n"/>
      <c r="L6" s="53" t="n"/>
      <c r="M6" s="26" t="n"/>
      <c r="N6" s="26" t="n"/>
      <c r="O6" s="26" t="n"/>
      <c r="P6" s="54" t="str">
        <f>IF(tblPriorities[[#This Row],[Next Key Date]]="","",tblPriorities[[#This Row],[Next Key Date]]-AsOf)</f>
        <v/>
      </c>
      <c r="Q6" s="56" t="str">
        <f>IF(tblPriorities[[#This Row],[ID]]="","",IF(tblPriorities[[#This Row],[Next Key Date]]="","No Date",IF(tblPriorities[[#This Row],[Next Key Date]]&lt;AsOf,"Passed",IF(tblPriorities[[#This Row],[Next Key Date]]-AsOf&lt;=14,"Within 14 Days",IF(tblPriorities[[#This Row],[Next Key Date]]-AsOf&lt;=30,"Within 30 Days","Later")))))</f>
        <v/>
      </c>
      <c r="R6" s="54">
        <f>IF(tblPriorities[[#This Row],[ID]]="",0,IF(OR(tblPriorities[[#This Row],[Stage]]="Resolved Favorable",tblPriorities[[#This Row],[Stage]]="Resolved Unfavorable",tblPriorities[[#This Row],[Stage]]="Inactive"),0,1))</f>
        <v>0</v>
      </c>
      <c r="S6" s="56"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6" s="54" t="str">
        <f>IF(tblPriorities[[#This Row],[ID]]="","",COUNTIFS(tblActions[Priority ID],tblPriorities[[#This Row],[ID]],tblActions[Status],"Planned")+COUNTIFS(tblActions[Priority ID],tblPriorities[[#This Row],[ID]],tblActions[Status],"In Progress"))</f>
        <v/>
      </c>
      <c r="U6" s="54"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7">
      <c r="A7" s="52" t="n"/>
      <c r="B7" s="52" t="n"/>
      <c r="C7" s="26" t="n"/>
      <c r="D7" s="26" t="n"/>
      <c r="E7" s="26" t="n"/>
      <c r="F7" s="52" t="n"/>
      <c r="G7" s="52" t="n"/>
      <c r="H7" s="52" t="n"/>
      <c r="I7" s="52" t="n"/>
      <c r="J7" s="26" t="n"/>
      <c r="K7" s="52" t="n"/>
      <c r="L7" s="53" t="n"/>
      <c r="M7" s="26" t="n"/>
      <c r="N7" s="26" t="n"/>
      <c r="O7" s="26" t="n"/>
      <c r="P7" s="54" t="str">
        <f>IF(tblPriorities[[#This Row],[Next Key Date]]="","",tblPriorities[[#This Row],[Next Key Date]]-AsOf)</f>
        <v/>
      </c>
      <c r="Q7" s="56" t="str">
        <f>IF(tblPriorities[[#This Row],[ID]]="","",IF(tblPriorities[[#This Row],[Next Key Date]]="","No Date",IF(tblPriorities[[#This Row],[Next Key Date]]&lt;AsOf,"Passed",IF(tblPriorities[[#This Row],[Next Key Date]]-AsOf&lt;=14,"Within 14 Days",IF(tblPriorities[[#This Row],[Next Key Date]]-AsOf&lt;=30,"Within 30 Days","Later")))))</f>
        <v/>
      </c>
      <c r="R7" s="54">
        <f>IF(tblPriorities[[#This Row],[ID]]="",0,IF(OR(tblPriorities[[#This Row],[Stage]]="Resolved Favorable",tblPriorities[[#This Row],[Stage]]="Resolved Unfavorable",tblPriorities[[#This Row],[Stage]]="Inactive"),0,1))</f>
        <v>0</v>
      </c>
      <c r="S7" s="56"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7" s="54" t="str">
        <f>IF(tblPriorities[[#This Row],[ID]]="","",COUNTIFS(tblActions[Priority ID],tblPriorities[[#This Row],[ID]],tblActions[Status],"Planned")+COUNTIFS(tblActions[Priority ID],tblPriorities[[#This Row],[ID]],tblActions[Status],"In Progress"))</f>
        <v/>
      </c>
      <c r="U7" s="54"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8">
      <c r="A8" s="52" t="n"/>
      <c r="B8" s="52" t="n"/>
      <c r="C8" s="26" t="n"/>
      <c r="D8" s="26" t="n"/>
      <c r="E8" s="26" t="n"/>
      <c r="F8" s="52" t="n"/>
      <c r="G8" s="52" t="n"/>
      <c r="H8" s="52" t="n"/>
      <c r="I8" s="52" t="n"/>
      <c r="J8" s="26" t="n"/>
      <c r="K8" s="52" t="n"/>
      <c r="L8" s="53" t="n"/>
      <c r="M8" s="26" t="n"/>
      <c r="N8" s="26" t="n"/>
      <c r="O8" s="26" t="n"/>
      <c r="P8" s="54" t="str">
        <f>IF(tblPriorities[[#This Row],[Next Key Date]]="","",tblPriorities[[#This Row],[Next Key Date]]-AsOf)</f>
        <v/>
      </c>
      <c r="Q8" s="56" t="str">
        <f>IF(tblPriorities[[#This Row],[ID]]="","",IF(tblPriorities[[#This Row],[Next Key Date]]="","No Date",IF(tblPriorities[[#This Row],[Next Key Date]]&lt;AsOf,"Passed",IF(tblPriorities[[#This Row],[Next Key Date]]-AsOf&lt;=14,"Within 14 Days",IF(tblPriorities[[#This Row],[Next Key Date]]-AsOf&lt;=30,"Within 30 Days","Later")))))</f>
        <v/>
      </c>
      <c r="R8" s="54">
        <f>IF(tblPriorities[[#This Row],[ID]]="",0,IF(OR(tblPriorities[[#This Row],[Stage]]="Resolved Favorable",tblPriorities[[#This Row],[Stage]]="Resolved Unfavorable",tblPriorities[[#This Row],[Stage]]="Inactive"),0,1))</f>
        <v>0</v>
      </c>
      <c r="S8" s="56"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8" s="54" t="str">
        <f>IF(tblPriorities[[#This Row],[ID]]="","",COUNTIFS(tblActions[Priority ID],tblPriorities[[#This Row],[ID]],tblActions[Status],"Planned")+COUNTIFS(tblActions[Priority ID],tblPriorities[[#This Row],[ID]],tblActions[Status],"In Progress"))</f>
        <v/>
      </c>
      <c r="U8" s="54"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9">
      <c r="A9" s="52" t="n"/>
      <c r="B9" s="52" t="n"/>
      <c r="C9" s="26" t="n"/>
      <c r="D9" s="26" t="n"/>
      <c r="E9" s="26" t="n"/>
      <c r="F9" s="52" t="n"/>
      <c r="G9" s="52" t="n"/>
      <c r="H9" s="52" t="n"/>
      <c r="I9" s="52" t="n"/>
      <c r="J9" s="26" t="n"/>
      <c r="K9" s="52" t="n"/>
      <c r="L9" s="53" t="n"/>
      <c r="M9" s="26" t="n"/>
      <c r="N9" s="26" t="n"/>
      <c r="O9" s="26" t="n"/>
      <c r="P9" s="54" t="str">
        <f>IF(tblPriorities[[#This Row],[Next Key Date]]="","",tblPriorities[[#This Row],[Next Key Date]]-AsOf)</f>
        <v/>
      </c>
      <c r="Q9" s="56" t="str">
        <f>IF(tblPriorities[[#This Row],[ID]]="","",IF(tblPriorities[[#This Row],[Next Key Date]]="","No Date",IF(tblPriorities[[#This Row],[Next Key Date]]&lt;AsOf,"Passed",IF(tblPriorities[[#This Row],[Next Key Date]]-AsOf&lt;=14,"Within 14 Days",IF(tblPriorities[[#This Row],[Next Key Date]]-AsOf&lt;=30,"Within 30 Days","Later")))))</f>
        <v/>
      </c>
      <c r="R9" s="54">
        <f>IF(tblPriorities[[#This Row],[ID]]="",0,IF(OR(tblPriorities[[#This Row],[Stage]]="Resolved Favorable",tblPriorities[[#This Row],[Stage]]="Resolved Unfavorable",tblPriorities[[#This Row],[Stage]]="Inactive"),0,1))</f>
        <v>0</v>
      </c>
      <c r="S9" s="56"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9" s="54" t="str">
        <f>IF(tblPriorities[[#This Row],[ID]]="","",COUNTIFS(tblActions[Priority ID],tblPriorities[[#This Row],[ID]],tblActions[Status],"Planned")+COUNTIFS(tblActions[Priority ID],tblPriorities[[#This Row],[ID]],tblActions[Status],"In Progress"))</f>
        <v/>
      </c>
      <c r="U9" s="54"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10">
      <c r="A10" s="52" t="n"/>
      <c r="B10" s="52" t="n"/>
      <c r="C10" s="26" t="n"/>
      <c r="D10" s="26" t="n"/>
      <c r="E10" s="26" t="n"/>
      <c r="F10" s="52" t="n"/>
      <c r="G10" s="52" t="n"/>
      <c r="H10" s="52" t="n"/>
      <c r="I10" s="52" t="n"/>
      <c r="J10" s="26" t="n"/>
      <c r="K10" s="52" t="n"/>
      <c r="L10" s="53" t="n"/>
      <c r="M10" s="26" t="n"/>
      <c r="N10" s="26" t="n"/>
      <c r="O10" s="26" t="n"/>
      <c r="P10" s="54" t="str">
        <f>IF(tblPriorities[[#This Row],[Next Key Date]]="","",tblPriorities[[#This Row],[Next Key Date]]-AsOf)</f>
        <v/>
      </c>
      <c r="Q10" s="56" t="str">
        <f>IF(tblPriorities[[#This Row],[ID]]="","",IF(tblPriorities[[#This Row],[Next Key Date]]="","No Date",IF(tblPriorities[[#This Row],[Next Key Date]]&lt;AsOf,"Passed",IF(tblPriorities[[#This Row],[Next Key Date]]-AsOf&lt;=14,"Within 14 Days",IF(tblPriorities[[#This Row],[Next Key Date]]-AsOf&lt;=30,"Within 30 Days","Later")))))</f>
        <v/>
      </c>
      <c r="R10" s="54">
        <f>IF(tblPriorities[[#This Row],[ID]]="",0,IF(OR(tblPriorities[[#This Row],[Stage]]="Resolved Favorable",tblPriorities[[#This Row],[Stage]]="Resolved Unfavorable",tblPriorities[[#This Row],[Stage]]="Inactive"),0,1))</f>
        <v>0</v>
      </c>
      <c r="S10" s="56"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10" s="54" t="str">
        <f>IF(tblPriorities[[#This Row],[ID]]="","",COUNTIFS(tblActions[Priority ID],tblPriorities[[#This Row],[ID]],tblActions[Status],"Planned")+COUNTIFS(tblActions[Priority ID],tblPriorities[[#This Row],[ID]],tblActions[Status],"In Progress"))</f>
        <v/>
      </c>
      <c r="U10" s="54"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11">
      <c r="A11" s="52" t="n"/>
      <c r="B11" s="52" t="n"/>
      <c r="C11" s="26" t="n"/>
      <c r="D11" s="26" t="n"/>
      <c r="E11" s="26" t="n"/>
      <c r="F11" s="52" t="n"/>
      <c r="G11" s="52" t="n"/>
      <c r="H11" s="52" t="n"/>
      <c r="I11" s="52" t="n"/>
      <c r="J11" s="26" t="n"/>
      <c r="K11" s="52" t="n"/>
      <c r="L11" s="53" t="n"/>
      <c r="M11" s="26" t="n"/>
      <c r="N11" s="26" t="n"/>
      <c r="O11" s="26" t="n"/>
      <c r="P11" s="54" t="str">
        <f>IF(tblPriorities[[#This Row],[Next Key Date]]="","",tblPriorities[[#This Row],[Next Key Date]]-AsOf)</f>
        <v/>
      </c>
      <c r="Q11" s="56" t="str">
        <f>IF(tblPriorities[[#This Row],[ID]]="","",IF(tblPriorities[[#This Row],[Next Key Date]]="","No Date",IF(tblPriorities[[#This Row],[Next Key Date]]&lt;AsOf,"Passed",IF(tblPriorities[[#This Row],[Next Key Date]]-AsOf&lt;=14,"Within 14 Days",IF(tblPriorities[[#This Row],[Next Key Date]]-AsOf&lt;=30,"Within 30 Days","Later")))))</f>
        <v/>
      </c>
      <c r="R11" s="54">
        <f>IF(tblPriorities[[#This Row],[ID]]="",0,IF(OR(tblPriorities[[#This Row],[Stage]]="Resolved Favorable",tblPriorities[[#This Row],[Stage]]="Resolved Unfavorable",tblPriorities[[#This Row],[Stage]]="Inactive"),0,1))</f>
        <v>0</v>
      </c>
      <c r="S11" s="56"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11" s="54" t="str">
        <f>IF(tblPriorities[[#This Row],[ID]]="","",COUNTIFS(tblActions[Priority ID],tblPriorities[[#This Row],[ID]],tblActions[Status],"Planned")+COUNTIFS(tblActions[Priority ID],tblPriorities[[#This Row],[ID]],tblActions[Status],"In Progress"))</f>
        <v/>
      </c>
      <c r="U11" s="54"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12">
      <c r="A12" s="52" t="n"/>
      <c r="B12" s="52" t="n"/>
      <c r="C12" s="26" t="n"/>
      <c r="D12" s="26" t="n"/>
      <c r="E12" s="26" t="n"/>
      <c r="F12" s="52" t="n"/>
      <c r="G12" s="52" t="n"/>
      <c r="H12" s="52" t="n"/>
      <c r="I12" s="52" t="n"/>
      <c r="J12" s="26" t="n"/>
      <c r="K12" s="52" t="n"/>
      <c r="L12" s="53" t="n"/>
      <c r="M12" s="26" t="n"/>
      <c r="N12" s="26" t="n"/>
      <c r="O12" s="26" t="n"/>
      <c r="P12" s="54" t="str">
        <f>IF(tblPriorities[[#This Row],[Next Key Date]]="","",tblPriorities[[#This Row],[Next Key Date]]-AsOf)</f>
        <v/>
      </c>
      <c r="Q12" s="56" t="str">
        <f>IF(tblPriorities[[#This Row],[ID]]="","",IF(tblPriorities[[#This Row],[Next Key Date]]="","No Date",IF(tblPriorities[[#This Row],[Next Key Date]]&lt;AsOf,"Passed",IF(tblPriorities[[#This Row],[Next Key Date]]-AsOf&lt;=14,"Within 14 Days",IF(tblPriorities[[#This Row],[Next Key Date]]-AsOf&lt;=30,"Within 30 Days","Later")))))</f>
        <v/>
      </c>
      <c r="R12" s="54">
        <f>IF(tblPriorities[[#This Row],[ID]]="",0,IF(OR(tblPriorities[[#This Row],[Stage]]="Resolved Favorable",tblPriorities[[#This Row],[Stage]]="Resolved Unfavorable",tblPriorities[[#This Row],[Stage]]="Inactive"),0,1))</f>
        <v>0</v>
      </c>
      <c r="S12" s="56"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12" s="54" t="str">
        <f>IF(tblPriorities[[#This Row],[ID]]="","",COUNTIFS(tblActions[Priority ID],tblPriorities[[#This Row],[ID]],tblActions[Status],"Planned")+COUNTIFS(tblActions[Priority ID],tblPriorities[[#This Row],[ID]],tblActions[Status],"In Progress"))</f>
        <v/>
      </c>
      <c r="U12" s="54"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13">
      <c r="A13" s="52" t="n"/>
      <c r="B13" s="52" t="n"/>
      <c r="C13" s="26" t="n"/>
      <c r="D13" s="26" t="n"/>
      <c r="E13" s="26" t="n"/>
      <c r="F13" s="52" t="n"/>
      <c r="G13" s="52" t="n"/>
      <c r="H13" s="52" t="n"/>
      <c r="I13" s="52" t="n"/>
      <c r="J13" s="26" t="n"/>
      <c r="K13" s="52" t="n"/>
      <c r="L13" s="53" t="n"/>
      <c r="M13" s="26" t="n"/>
      <c r="N13" s="26" t="n"/>
      <c r="O13" s="26" t="n"/>
      <c r="P13" s="54" t="str">
        <f>IF(tblPriorities[[#This Row],[Next Key Date]]="","",tblPriorities[[#This Row],[Next Key Date]]-AsOf)</f>
        <v/>
      </c>
      <c r="Q13" s="56" t="str">
        <f>IF(tblPriorities[[#This Row],[ID]]="","",IF(tblPriorities[[#This Row],[Next Key Date]]="","No Date",IF(tblPriorities[[#This Row],[Next Key Date]]&lt;AsOf,"Passed",IF(tblPriorities[[#This Row],[Next Key Date]]-AsOf&lt;=14,"Within 14 Days",IF(tblPriorities[[#This Row],[Next Key Date]]-AsOf&lt;=30,"Within 30 Days","Later")))))</f>
        <v/>
      </c>
      <c r="R13" s="54">
        <f>IF(tblPriorities[[#This Row],[ID]]="",0,IF(OR(tblPriorities[[#This Row],[Stage]]="Resolved Favorable",tblPriorities[[#This Row],[Stage]]="Resolved Unfavorable",tblPriorities[[#This Row],[Stage]]="Inactive"),0,1))</f>
        <v>0</v>
      </c>
      <c r="S13" s="56"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13" s="54" t="str">
        <f>IF(tblPriorities[[#This Row],[ID]]="","",COUNTIFS(tblActions[Priority ID],tblPriorities[[#This Row],[ID]],tblActions[Status],"Planned")+COUNTIFS(tblActions[Priority ID],tblPriorities[[#This Row],[ID]],tblActions[Status],"In Progress"))</f>
        <v/>
      </c>
      <c r="U13" s="54"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14">
      <c r="A14" s="52" t="n"/>
      <c r="B14" s="52" t="n"/>
      <c r="C14" s="26" t="n"/>
      <c r="D14" s="26" t="n"/>
      <c r="E14" s="26" t="n"/>
      <c r="F14" s="52" t="n"/>
      <c r="G14" s="52" t="n"/>
      <c r="H14" s="52" t="n"/>
      <c r="I14" s="52" t="n"/>
      <c r="J14" s="26" t="n"/>
      <c r="K14" s="52" t="n"/>
      <c r="L14" s="53" t="n"/>
      <c r="M14" s="26" t="n"/>
      <c r="N14" s="26" t="n"/>
      <c r="O14" s="26" t="n"/>
      <c r="P14" s="54" t="str">
        <f>IF(tblPriorities[[#This Row],[Next Key Date]]="","",tblPriorities[[#This Row],[Next Key Date]]-AsOf)</f>
        <v/>
      </c>
      <c r="Q14" s="56" t="str">
        <f>IF(tblPriorities[[#This Row],[ID]]="","",IF(tblPriorities[[#This Row],[Next Key Date]]="","No Date",IF(tblPriorities[[#This Row],[Next Key Date]]&lt;AsOf,"Passed",IF(tblPriorities[[#This Row],[Next Key Date]]-AsOf&lt;=14,"Within 14 Days",IF(tblPriorities[[#This Row],[Next Key Date]]-AsOf&lt;=30,"Within 30 Days","Later")))))</f>
        <v/>
      </c>
      <c r="R14" s="54">
        <f>IF(tblPriorities[[#This Row],[ID]]="",0,IF(OR(tblPriorities[[#This Row],[Stage]]="Resolved Favorable",tblPriorities[[#This Row],[Stage]]="Resolved Unfavorable",tblPriorities[[#This Row],[Stage]]="Inactive"),0,1))</f>
        <v>0</v>
      </c>
      <c r="S14" s="56"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14" s="54" t="str">
        <f>IF(tblPriorities[[#This Row],[ID]]="","",COUNTIFS(tblActions[Priority ID],tblPriorities[[#This Row],[ID]],tblActions[Status],"Planned")+COUNTIFS(tblActions[Priority ID],tblPriorities[[#This Row],[ID]],tblActions[Status],"In Progress"))</f>
        <v/>
      </c>
      <c r="U14" s="54"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15">
      <c r="A15" s="52" t="n"/>
      <c r="B15" s="52" t="n"/>
      <c r="C15" s="26" t="n"/>
      <c r="D15" s="26" t="n"/>
      <c r="E15" s="26" t="n"/>
      <c r="F15" s="52" t="n"/>
      <c r="G15" s="52" t="n"/>
      <c r="H15" s="52" t="n"/>
      <c r="I15" s="52" t="n"/>
      <c r="J15" s="26" t="n"/>
      <c r="K15" s="52" t="n"/>
      <c r="L15" s="53" t="n"/>
      <c r="M15" s="26" t="n"/>
      <c r="N15" s="26" t="n"/>
      <c r="O15" s="26" t="n"/>
      <c r="P15" s="54" t="str">
        <f>IF(tblPriorities[[#This Row],[Next Key Date]]="","",tblPriorities[[#This Row],[Next Key Date]]-AsOf)</f>
        <v/>
      </c>
      <c r="Q15" s="56" t="str">
        <f>IF(tblPriorities[[#This Row],[ID]]="","",IF(tblPriorities[[#This Row],[Next Key Date]]="","No Date",IF(tblPriorities[[#This Row],[Next Key Date]]&lt;AsOf,"Passed",IF(tblPriorities[[#This Row],[Next Key Date]]-AsOf&lt;=14,"Within 14 Days",IF(tblPriorities[[#This Row],[Next Key Date]]-AsOf&lt;=30,"Within 30 Days","Later")))))</f>
        <v/>
      </c>
      <c r="R15" s="54">
        <f>IF(tblPriorities[[#This Row],[ID]]="",0,IF(OR(tblPriorities[[#This Row],[Stage]]="Resolved Favorable",tblPriorities[[#This Row],[Stage]]="Resolved Unfavorable",tblPriorities[[#This Row],[Stage]]="Inactive"),0,1))</f>
        <v>0</v>
      </c>
      <c r="S15" s="56"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15" s="54" t="str">
        <f>IF(tblPriorities[[#This Row],[ID]]="","",COUNTIFS(tblActions[Priority ID],tblPriorities[[#This Row],[ID]],tblActions[Status],"Planned")+COUNTIFS(tblActions[Priority ID],tblPriorities[[#This Row],[ID]],tblActions[Status],"In Progress"))</f>
        <v/>
      </c>
      <c r="U15" s="54"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16">
      <c r="A16" s="52" t="n"/>
      <c r="B16" s="52" t="n"/>
      <c r="C16" s="26" t="n"/>
      <c r="D16" s="26" t="n"/>
      <c r="E16" s="26" t="n"/>
      <c r="F16" s="52" t="n"/>
      <c r="G16" s="52" t="n"/>
      <c r="H16" s="52" t="n"/>
      <c r="I16" s="52" t="n"/>
      <c r="J16" s="26" t="n"/>
      <c r="K16" s="52" t="n"/>
      <c r="L16" s="53" t="n"/>
      <c r="M16" s="26" t="n"/>
      <c r="N16" s="26" t="n"/>
      <c r="O16" s="26" t="n"/>
      <c r="P16" s="54" t="str">
        <f>IF(tblPriorities[[#This Row],[Next Key Date]]="","",tblPriorities[[#This Row],[Next Key Date]]-AsOf)</f>
        <v/>
      </c>
      <c r="Q16" s="56" t="str">
        <f>IF(tblPriorities[[#This Row],[ID]]="","",IF(tblPriorities[[#This Row],[Next Key Date]]="","No Date",IF(tblPriorities[[#This Row],[Next Key Date]]&lt;AsOf,"Passed",IF(tblPriorities[[#This Row],[Next Key Date]]-AsOf&lt;=14,"Within 14 Days",IF(tblPriorities[[#This Row],[Next Key Date]]-AsOf&lt;=30,"Within 30 Days","Later")))))</f>
        <v/>
      </c>
      <c r="R16" s="54">
        <f>IF(tblPriorities[[#This Row],[ID]]="",0,IF(OR(tblPriorities[[#This Row],[Stage]]="Resolved Favorable",tblPriorities[[#This Row],[Stage]]="Resolved Unfavorable",tblPriorities[[#This Row],[Stage]]="Inactive"),0,1))</f>
        <v>0</v>
      </c>
      <c r="S16" s="56"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16" s="54" t="str">
        <f>IF(tblPriorities[[#This Row],[ID]]="","",COUNTIFS(tblActions[Priority ID],tblPriorities[[#This Row],[ID]],tblActions[Status],"Planned")+COUNTIFS(tblActions[Priority ID],tblPriorities[[#This Row],[ID]],tblActions[Status],"In Progress"))</f>
        <v/>
      </c>
      <c r="U16" s="54"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17">
      <c r="A17" s="52" t="n"/>
      <c r="B17" s="52" t="n"/>
      <c r="C17" s="26" t="n"/>
      <c r="D17" s="26" t="n"/>
      <c r="E17" s="26" t="n"/>
      <c r="F17" s="52" t="n"/>
      <c r="G17" s="52" t="n"/>
      <c r="H17" s="52" t="n"/>
      <c r="I17" s="52" t="n"/>
      <c r="J17" s="26" t="n"/>
      <c r="K17" s="52" t="n"/>
      <c r="L17" s="53" t="n"/>
      <c r="M17" s="26" t="n"/>
      <c r="N17" s="26" t="n"/>
      <c r="O17" s="26" t="n"/>
      <c r="P17" s="54" t="str">
        <f>IF(tblPriorities[[#This Row],[Next Key Date]]="","",tblPriorities[[#This Row],[Next Key Date]]-AsOf)</f>
        <v/>
      </c>
      <c r="Q17" s="56" t="str">
        <f>IF(tblPriorities[[#This Row],[ID]]="","",IF(tblPriorities[[#This Row],[Next Key Date]]="","No Date",IF(tblPriorities[[#This Row],[Next Key Date]]&lt;AsOf,"Passed",IF(tblPriorities[[#This Row],[Next Key Date]]-AsOf&lt;=14,"Within 14 Days",IF(tblPriorities[[#This Row],[Next Key Date]]-AsOf&lt;=30,"Within 30 Days","Later")))))</f>
        <v/>
      </c>
      <c r="R17" s="54">
        <f>IF(tblPriorities[[#This Row],[ID]]="",0,IF(OR(tblPriorities[[#This Row],[Stage]]="Resolved Favorable",tblPriorities[[#This Row],[Stage]]="Resolved Unfavorable",tblPriorities[[#This Row],[Stage]]="Inactive"),0,1))</f>
        <v>0</v>
      </c>
      <c r="S17" s="56"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17" s="54" t="str">
        <f>IF(tblPriorities[[#This Row],[ID]]="","",COUNTIFS(tblActions[Priority ID],tblPriorities[[#This Row],[ID]],tblActions[Status],"Planned")+COUNTIFS(tblActions[Priority ID],tblPriorities[[#This Row],[ID]],tblActions[Status],"In Progress"))</f>
        <v/>
      </c>
      <c r="U17" s="54"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18">
      <c r="A18" s="52" t="n"/>
      <c r="B18" s="52" t="n"/>
      <c r="C18" s="26" t="n"/>
      <c r="D18" s="26" t="n"/>
      <c r="E18" s="26" t="n"/>
      <c r="F18" s="52" t="n"/>
      <c r="G18" s="52" t="n"/>
      <c r="H18" s="52" t="n"/>
      <c r="I18" s="52" t="n"/>
      <c r="J18" s="26" t="n"/>
      <c r="K18" s="52" t="n"/>
      <c r="L18" s="53" t="n"/>
      <c r="M18" s="26" t="n"/>
      <c r="N18" s="26" t="n"/>
      <c r="O18" s="26" t="n"/>
      <c r="P18" s="54" t="str">
        <f>IF(tblPriorities[[#This Row],[Next Key Date]]="","",tblPriorities[[#This Row],[Next Key Date]]-AsOf)</f>
        <v/>
      </c>
      <c r="Q18" s="56" t="str">
        <f>IF(tblPriorities[[#This Row],[ID]]="","",IF(tblPriorities[[#This Row],[Next Key Date]]="","No Date",IF(tblPriorities[[#This Row],[Next Key Date]]&lt;AsOf,"Passed",IF(tblPriorities[[#This Row],[Next Key Date]]-AsOf&lt;=14,"Within 14 Days",IF(tblPriorities[[#This Row],[Next Key Date]]-AsOf&lt;=30,"Within 30 Days","Later")))))</f>
        <v/>
      </c>
      <c r="R18" s="54">
        <f>IF(tblPriorities[[#This Row],[ID]]="",0,IF(OR(tblPriorities[[#This Row],[Stage]]="Resolved Favorable",tblPriorities[[#This Row],[Stage]]="Resolved Unfavorable",tblPriorities[[#This Row],[Stage]]="Inactive"),0,1))</f>
        <v>0</v>
      </c>
      <c r="S18" s="56"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18" s="54" t="str">
        <f>IF(tblPriorities[[#This Row],[ID]]="","",COUNTIFS(tblActions[Priority ID],tblPriorities[[#This Row],[ID]],tblActions[Status],"Planned")+COUNTIFS(tblActions[Priority ID],tblPriorities[[#This Row],[ID]],tblActions[Status],"In Progress"))</f>
        <v/>
      </c>
      <c r="U18" s="54"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19">
      <c r="A19" s="52" t="n"/>
      <c r="B19" s="52" t="n"/>
      <c r="C19" s="26" t="n"/>
      <c r="D19" s="26" t="n"/>
      <c r="E19" s="26" t="n"/>
      <c r="F19" s="52" t="n"/>
      <c r="G19" s="52" t="n"/>
      <c r="H19" s="52" t="n"/>
      <c r="I19" s="52" t="n"/>
      <c r="J19" s="26" t="n"/>
      <c r="K19" s="52" t="n"/>
      <c r="L19" s="53" t="n"/>
      <c r="M19" s="26" t="n"/>
      <c r="N19" s="26" t="n"/>
      <c r="O19" s="26" t="n"/>
      <c r="P19" s="54" t="str">
        <f>IF(tblPriorities[[#This Row],[Next Key Date]]="","",tblPriorities[[#This Row],[Next Key Date]]-AsOf)</f>
        <v/>
      </c>
      <c r="Q19" s="56" t="str">
        <f>IF(tblPriorities[[#This Row],[ID]]="","",IF(tblPriorities[[#This Row],[Next Key Date]]="","No Date",IF(tblPriorities[[#This Row],[Next Key Date]]&lt;AsOf,"Passed",IF(tblPriorities[[#This Row],[Next Key Date]]-AsOf&lt;=14,"Within 14 Days",IF(tblPriorities[[#This Row],[Next Key Date]]-AsOf&lt;=30,"Within 30 Days","Later")))))</f>
        <v/>
      </c>
      <c r="R19" s="54">
        <f>IF(tblPriorities[[#This Row],[ID]]="",0,IF(OR(tblPriorities[[#This Row],[Stage]]="Resolved Favorable",tblPriorities[[#This Row],[Stage]]="Resolved Unfavorable",tblPriorities[[#This Row],[Stage]]="Inactive"),0,1))</f>
        <v>0</v>
      </c>
      <c r="S19" s="56"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19" s="54" t="str">
        <f>IF(tblPriorities[[#This Row],[ID]]="","",COUNTIFS(tblActions[Priority ID],tblPriorities[[#This Row],[ID]],tblActions[Status],"Planned")+COUNTIFS(tblActions[Priority ID],tblPriorities[[#This Row],[ID]],tblActions[Status],"In Progress"))</f>
        <v/>
      </c>
      <c r="U19" s="54"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20">
      <c r="A20" s="52" t="n"/>
      <c r="B20" s="52" t="n"/>
      <c r="C20" s="26" t="n"/>
      <c r="D20" s="26" t="n"/>
      <c r="E20" s="26" t="n"/>
      <c r="F20" s="52" t="n"/>
      <c r="G20" s="52" t="n"/>
      <c r="H20" s="52" t="n"/>
      <c r="I20" s="52" t="n"/>
      <c r="J20" s="26" t="n"/>
      <c r="K20" s="52" t="n"/>
      <c r="L20" s="53" t="n"/>
      <c r="M20" s="26" t="n"/>
      <c r="N20" s="26" t="n"/>
      <c r="O20" s="26" t="n"/>
      <c r="P20" s="54" t="str">
        <f>IF(tblPriorities[[#This Row],[Next Key Date]]="","",tblPriorities[[#This Row],[Next Key Date]]-AsOf)</f>
        <v/>
      </c>
      <c r="Q20" s="56" t="str">
        <f>IF(tblPriorities[[#This Row],[ID]]="","",IF(tblPriorities[[#This Row],[Next Key Date]]="","No Date",IF(tblPriorities[[#This Row],[Next Key Date]]&lt;AsOf,"Passed",IF(tblPriorities[[#This Row],[Next Key Date]]-AsOf&lt;=14,"Within 14 Days",IF(tblPriorities[[#This Row],[Next Key Date]]-AsOf&lt;=30,"Within 30 Days","Later")))))</f>
        <v/>
      </c>
      <c r="R20" s="54">
        <f>IF(tblPriorities[[#This Row],[ID]]="",0,IF(OR(tblPriorities[[#This Row],[Stage]]="Resolved Favorable",tblPriorities[[#This Row],[Stage]]="Resolved Unfavorable",tblPriorities[[#This Row],[Stage]]="Inactive"),0,1))</f>
        <v>0</v>
      </c>
      <c r="S20" s="56"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20" s="54" t="str">
        <f>IF(tblPriorities[[#This Row],[ID]]="","",COUNTIFS(tblActions[Priority ID],tblPriorities[[#This Row],[ID]],tblActions[Status],"Planned")+COUNTIFS(tblActions[Priority ID],tblPriorities[[#This Row],[ID]],tblActions[Status],"In Progress"))</f>
        <v/>
      </c>
      <c r="U20" s="54"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21">
      <c r="A21" s="52" t="n"/>
      <c r="B21" s="52" t="n"/>
      <c r="C21" s="26" t="n"/>
      <c r="D21" s="26" t="n"/>
      <c r="E21" s="26" t="n"/>
      <c r="F21" s="52" t="n"/>
      <c r="G21" s="52" t="n"/>
      <c r="H21" s="52" t="n"/>
      <c r="I21" s="52" t="n"/>
      <c r="J21" s="26" t="n"/>
      <c r="K21" s="52" t="n"/>
      <c r="L21" s="53" t="n"/>
      <c r="M21" s="26" t="n"/>
      <c r="N21" s="26" t="n"/>
      <c r="O21" s="26" t="n"/>
      <c r="P21" s="54" t="str">
        <f>IF(tblPriorities[[#This Row],[Next Key Date]]="","",tblPriorities[[#This Row],[Next Key Date]]-AsOf)</f>
        <v/>
      </c>
      <c r="Q21" s="56" t="str">
        <f>IF(tblPriorities[[#This Row],[ID]]="","",IF(tblPriorities[[#This Row],[Next Key Date]]="","No Date",IF(tblPriorities[[#This Row],[Next Key Date]]&lt;AsOf,"Passed",IF(tblPriorities[[#This Row],[Next Key Date]]-AsOf&lt;=14,"Within 14 Days",IF(tblPriorities[[#This Row],[Next Key Date]]-AsOf&lt;=30,"Within 30 Days","Later")))))</f>
        <v/>
      </c>
      <c r="R21" s="54">
        <f>IF(tblPriorities[[#This Row],[ID]]="",0,IF(OR(tblPriorities[[#This Row],[Stage]]="Resolved Favorable",tblPriorities[[#This Row],[Stage]]="Resolved Unfavorable",tblPriorities[[#This Row],[Stage]]="Inactive"),0,1))</f>
        <v>0</v>
      </c>
      <c r="S21" s="56"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21" s="54" t="str">
        <f>IF(tblPriorities[[#This Row],[ID]]="","",COUNTIFS(tblActions[Priority ID],tblPriorities[[#This Row],[ID]],tblActions[Status],"Planned")+COUNTIFS(tblActions[Priority ID],tblPriorities[[#This Row],[ID]],tblActions[Status],"In Progress"))</f>
        <v/>
      </c>
      <c r="U21" s="54"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22">
      <c r="A22" s="52" t="n"/>
      <c r="B22" s="52" t="n"/>
      <c r="C22" s="26" t="n"/>
      <c r="D22" s="26" t="n"/>
      <c r="E22" s="26" t="n"/>
      <c r="F22" s="52" t="n"/>
      <c r="G22" s="52" t="n"/>
      <c r="H22" s="52" t="n"/>
      <c r="I22" s="52" t="n"/>
      <c r="J22" s="26" t="n"/>
      <c r="K22" s="52" t="n"/>
      <c r="L22" s="53" t="n"/>
      <c r="M22" s="26" t="n"/>
      <c r="N22" s="26" t="n"/>
      <c r="O22" s="26" t="n"/>
      <c r="P22" s="54" t="str">
        <f>IF(tblPriorities[[#This Row],[Next Key Date]]="","",tblPriorities[[#This Row],[Next Key Date]]-AsOf)</f>
        <v/>
      </c>
      <c r="Q22" s="56" t="str">
        <f>IF(tblPriorities[[#This Row],[ID]]="","",IF(tblPriorities[[#This Row],[Next Key Date]]="","No Date",IF(tblPriorities[[#This Row],[Next Key Date]]&lt;AsOf,"Passed",IF(tblPriorities[[#This Row],[Next Key Date]]-AsOf&lt;=14,"Within 14 Days",IF(tblPriorities[[#This Row],[Next Key Date]]-AsOf&lt;=30,"Within 30 Days","Later")))))</f>
        <v/>
      </c>
      <c r="R22" s="54">
        <f>IF(tblPriorities[[#This Row],[ID]]="",0,IF(OR(tblPriorities[[#This Row],[Stage]]="Resolved Favorable",tblPriorities[[#This Row],[Stage]]="Resolved Unfavorable",tblPriorities[[#This Row],[Stage]]="Inactive"),0,1))</f>
        <v>0</v>
      </c>
      <c r="S22" s="56"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22" s="54" t="str">
        <f>IF(tblPriorities[[#This Row],[ID]]="","",COUNTIFS(tblActions[Priority ID],tblPriorities[[#This Row],[ID]],tblActions[Status],"Planned")+COUNTIFS(tblActions[Priority ID],tblPriorities[[#This Row],[ID]],tblActions[Status],"In Progress"))</f>
        <v/>
      </c>
      <c r="U22" s="54"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23">
      <c r="A23" s="52" t="n"/>
      <c r="B23" s="52" t="n"/>
      <c r="C23" s="26" t="n"/>
      <c r="D23" s="26" t="n"/>
      <c r="E23" s="26" t="n"/>
      <c r="F23" s="52" t="n"/>
      <c r="G23" s="52" t="n"/>
      <c r="H23" s="52" t="n"/>
      <c r="I23" s="52" t="n"/>
      <c r="J23" s="26" t="n"/>
      <c r="K23" s="52" t="n"/>
      <c r="L23" s="53" t="n"/>
      <c r="M23" s="26" t="n"/>
      <c r="N23" s="26" t="n"/>
      <c r="O23" s="26" t="n"/>
      <c r="P23" s="54" t="str">
        <f>IF(tblPriorities[[#This Row],[Next Key Date]]="","",tblPriorities[[#This Row],[Next Key Date]]-AsOf)</f>
        <v/>
      </c>
      <c r="Q23" s="56" t="str">
        <f>IF(tblPriorities[[#This Row],[ID]]="","",IF(tblPriorities[[#This Row],[Next Key Date]]="","No Date",IF(tblPriorities[[#This Row],[Next Key Date]]&lt;AsOf,"Passed",IF(tblPriorities[[#This Row],[Next Key Date]]-AsOf&lt;=14,"Within 14 Days",IF(tblPriorities[[#This Row],[Next Key Date]]-AsOf&lt;=30,"Within 30 Days","Later")))))</f>
        <v/>
      </c>
      <c r="R23" s="54">
        <f>IF(tblPriorities[[#This Row],[ID]]="",0,IF(OR(tblPriorities[[#This Row],[Stage]]="Resolved Favorable",tblPriorities[[#This Row],[Stage]]="Resolved Unfavorable",tblPriorities[[#This Row],[Stage]]="Inactive"),0,1))</f>
        <v>0</v>
      </c>
      <c r="S23" s="56"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23" s="54" t="str">
        <f>IF(tblPriorities[[#This Row],[ID]]="","",COUNTIFS(tblActions[Priority ID],tblPriorities[[#This Row],[ID]],tblActions[Status],"Planned")+COUNTIFS(tblActions[Priority ID],tblPriorities[[#This Row],[ID]],tblActions[Status],"In Progress"))</f>
        <v/>
      </c>
      <c r="U23" s="54"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24">
      <c r="A24" s="52" t="n"/>
      <c r="B24" s="52" t="n"/>
      <c r="C24" s="26" t="n"/>
      <c r="D24" s="26" t="n"/>
      <c r="E24" s="26" t="n"/>
      <c r="F24" s="52" t="n"/>
      <c r="G24" s="52" t="n"/>
      <c r="H24" s="52" t="n"/>
      <c r="I24" s="52" t="n"/>
      <c r="J24" s="26" t="n"/>
      <c r="K24" s="52" t="n"/>
      <c r="L24" s="53" t="n"/>
      <c r="M24" s="26" t="n"/>
      <c r="N24" s="26" t="n"/>
      <c r="O24" s="26" t="n"/>
      <c r="P24" s="54" t="str">
        <f>IF(tblPriorities[[#This Row],[Next Key Date]]="","",tblPriorities[[#This Row],[Next Key Date]]-AsOf)</f>
        <v/>
      </c>
      <c r="Q24" s="56" t="str">
        <f>IF(tblPriorities[[#This Row],[ID]]="","",IF(tblPriorities[[#This Row],[Next Key Date]]="","No Date",IF(tblPriorities[[#This Row],[Next Key Date]]&lt;AsOf,"Passed",IF(tblPriorities[[#This Row],[Next Key Date]]-AsOf&lt;=14,"Within 14 Days",IF(tblPriorities[[#This Row],[Next Key Date]]-AsOf&lt;=30,"Within 30 Days","Later")))))</f>
        <v/>
      </c>
      <c r="R24" s="54">
        <f>IF(tblPriorities[[#This Row],[ID]]="",0,IF(OR(tblPriorities[[#This Row],[Stage]]="Resolved Favorable",tblPriorities[[#This Row],[Stage]]="Resolved Unfavorable",tblPriorities[[#This Row],[Stage]]="Inactive"),0,1))</f>
        <v>0</v>
      </c>
      <c r="S24" s="56"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24" s="54" t="str">
        <f>IF(tblPriorities[[#This Row],[ID]]="","",COUNTIFS(tblActions[Priority ID],tblPriorities[[#This Row],[ID]],tblActions[Status],"Planned")+COUNTIFS(tblActions[Priority ID],tblPriorities[[#This Row],[ID]],tblActions[Status],"In Progress"))</f>
        <v/>
      </c>
      <c r="U24" s="54"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25">
      <c r="A25" s="52" t="n"/>
      <c r="B25" s="52" t="n"/>
      <c r="C25" s="26" t="n"/>
      <c r="D25" s="26" t="n"/>
      <c r="E25" s="26" t="n"/>
      <c r="F25" s="52" t="n"/>
      <c r="G25" s="52" t="n"/>
      <c r="H25" s="52" t="n"/>
      <c r="I25" s="52" t="n"/>
      <c r="J25" s="26" t="n"/>
      <c r="K25" s="52" t="n"/>
      <c r="L25" s="53" t="n"/>
      <c r="M25" s="26" t="n"/>
      <c r="N25" s="26" t="n"/>
      <c r="O25" s="26" t="n"/>
      <c r="P25" s="54" t="str">
        <f>IF(tblPriorities[[#This Row],[Next Key Date]]="","",tblPriorities[[#This Row],[Next Key Date]]-AsOf)</f>
        <v/>
      </c>
      <c r="Q25" s="56" t="str">
        <f>IF(tblPriorities[[#This Row],[ID]]="","",IF(tblPriorities[[#This Row],[Next Key Date]]="","No Date",IF(tblPriorities[[#This Row],[Next Key Date]]&lt;AsOf,"Passed",IF(tblPriorities[[#This Row],[Next Key Date]]-AsOf&lt;=14,"Within 14 Days",IF(tblPriorities[[#This Row],[Next Key Date]]-AsOf&lt;=30,"Within 30 Days","Later")))))</f>
        <v/>
      </c>
      <c r="R25" s="54">
        <f>IF(tblPriorities[[#This Row],[ID]]="",0,IF(OR(tblPriorities[[#This Row],[Stage]]="Resolved Favorable",tblPriorities[[#This Row],[Stage]]="Resolved Unfavorable",tblPriorities[[#This Row],[Stage]]="Inactive"),0,1))</f>
        <v>0</v>
      </c>
      <c r="S25" s="56"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25" s="54" t="str">
        <f>IF(tblPriorities[[#This Row],[ID]]="","",COUNTIFS(tblActions[Priority ID],tblPriorities[[#This Row],[ID]],tblActions[Status],"Planned")+COUNTIFS(tblActions[Priority ID],tblPriorities[[#This Row],[ID]],tblActions[Status],"In Progress"))</f>
        <v/>
      </c>
      <c r="U25" s="54"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26">
      <c r="A26" s="52" t="n"/>
      <c r="B26" s="52" t="n"/>
      <c r="C26" s="26" t="n"/>
      <c r="D26" s="26" t="n"/>
      <c r="E26" s="26" t="n"/>
      <c r="F26" s="52" t="n"/>
      <c r="G26" s="52" t="n"/>
      <c r="H26" s="52" t="n"/>
      <c r="I26" s="52" t="n"/>
      <c r="J26" s="26" t="n"/>
      <c r="K26" s="52" t="n"/>
      <c r="L26" s="53" t="n"/>
      <c r="M26" s="26" t="n"/>
      <c r="N26" s="26" t="n"/>
      <c r="O26" s="26" t="n"/>
      <c r="P26" s="54" t="str">
        <f>IF(tblPriorities[[#This Row],[Next Key Date]]="","",tblPriorities[[#This Row],[Next Key Date]]-AsOf)</f>
        <v/>
      </c>
      <c r="Q26" s="56" t="str">
        <f>IF(tblPriorities[[#This Row],[ID]]="","",IF(tblPriorities[[#This Row],[Next Key Date]]="","No Date",IF(tblPriorities[[#This Row],[Next Key Date]]&lt;AsOf,"Passed",IF(tblPriorities[[#This Row],[Next Key Date]]-AsOf&lt;=14,"Within 14 Days",IF(tblPriorities[[#This Row],[Next Key Date]]-AsOf&lt;=30,"Within 30 Days","Later")))))</f>
        <v/>
      </c>
      <c r="R26" s="54">
        <f>IF(tblPriorities[[#This Row],[ID]]="",0,IF(OR(tblPriorities[[#This Row],[Stage]]="Resolved Favorable",tblPriorities[[#This Row],[Stage]]="Resolved Unfavorable",tblPriorities[[#This Row],[Stage]]="Inactive"),0,1))</f>
        <v>0</v>
      </c>
      <c r="S26" s="56"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26" s="54" t="str">
        <f>IF(tblPriorities[[#This Row],[ID]]="","",COUNTIFS(tblActions[Priority ID],tblPriorities[[#This Row],[ID]],tblActions[Status],"Planned")+COUNTIFS(tblActions[Priority ID],tblPriorities[[#This Row],[ID]],tblActions[Status],"In Progress"))</f>
        <v/>
      </c>
      <c r="U26" s="54"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27">
      <c r="A27" s="52" t="n"/>
      <c r="B27" s="52" t="n"/>
      <c r="C27" s="26" t="n"/>
      <c r="D27" s="26" t="n"/>
      <c r="E27" s="26" t="n"/>
      <c r="F27" s="52" t="n"/>
      <c r="G27" s="52" t="n"/>
      <c r="H27" s="52" t="n"/>
      <c r="I27" s="52" t="n"/>
      <c r="J27" s="26" t="n"/>
      <c r="K27" s="52" t="n"/>
      <c r="L27" s="53" t="n"/>
      <c r="M27" s="26" t="n"/>
      <c r="N27" s="26" t="n"/>
      <c r="O27" s="26" t="n"/>
      <c r="P27" s="54" t="str">
        <f>IF(tblPriorities[[#This Row],[Next Key Date]]="","",tblPriorities[[#This Row],[Next Key Date]]-AsOf)</f>
        <v/>
      </c>
      <c r="Q27" s="56" t="str">
        <f>IF(tblPriorities[[#This Row],[ID]]="","",IF(tblPriorities[[#This Row],[Next Key Date]]="","No Date",IF(tblPriorities[[#This Row],[Next Key Date]]&lt;AsOf,"Passed",IF(tblPriorities[[#This Row],[Next Key Date]]-AsOf&lt;=14,"Within 14 Days",IF(tblPriorities[[#This Row],[Next Key Date]]-AsOf&lt;=30,"Within 30 Days","Later")))))</f>
        <v/>
      </c>
      <c r="R27" s="54">
        <f>IF(tblPriorities[[#This Row],[ID]]="",0,IF(OR(tblPriorities[[#This Row],[Stage]]="Resolved Favorable",tblPriorities[[#This Row],[Stage]]="Resolved Unfavorable",tblPriorities[[#This Row],[Stage]]="Inactive"),0,1))</f>
        <v>0</v>
      </c>
      <c r="S27" s="56"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27" s="54" t="str">
        <f>IF(tblPriorities[[#This Row],[ID]]="","",COUNTIFS(tblActions[Priority ID],tblPriorities[[#This Row],[ID]],tblActions[Status],"Planned")+COUNTIFS(tblActions[Priority ID],tblPriorities[[#This Row],[ID]],tblActions[Status],"In Progress"))</f>
        <v/>
      </c>
      <c r="U27" s="54"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28">
      <c r="A28" s="52" t="n"/>
      <c r="B28" s="52" t="n"/>
      <c r="C28" s="26" t="n"/>
      <c r="D28" s="26" t="n"/>
      <c r="E28" s="26" t="n"/>
      <c r="F28" s="52" t="n"/>
      <c r="G28" s="52" t="n"/>
      <c r="H28" s="52" t="n"/>
      <c r="I28" s="52" t="n"/>
      <c r="J28" s="26" t="n"/>
      <c r="K28" s="52" t="n"/>
      <c r="L28" s="53" t="n"/>
      <c r="M28" s="26" t="n"/>
      <c r="N28" s="26" t="n"/>
      <c r="O28" s="26" t="n"/>
      <c r="P28" s="54" t="str">
        <f>IF(tblPriorities[[#This Row],[Next Key Date]]="","",tblPriorities[[#This Row],[Next Key Date]]-AsOf)</f>
        <v/>
      </c>
      <c r="Q28" s="56" t="str">
        <f>IF(tblPriorities[[#This Row],[ID]]="","",IF(tblPriorities[[#This Row],[Next Key Date]]="","No Date",IF(tblPriorities[[#This Row],[Next Key Date]]&lt;AsOf,"Passed",IF(tblPriorities[[#This Row],[Next Key Date]]-AsOf&lt;=14,"Within 14 Days",IF(tblPriorities[[#This Row],[Next Key Date]]-AsOf&lt;=30,"Within 30 Days","Later")))))</f>
        <v/>
      </c>
      <c r="R28" s="54">
        <f>IF(tblPriorities[[#This Row],[ID]]="",0,IF(OR(tblPriorities[[#This Row],[Stage]]="Resolved Favorable",tblPriorities[[#This Row],[Stage]]="Resolved Unfavorable",tblPriorities[[#This Row],[Stage]]="Inactive"),0,1))</f>
        <v>0</v>
      </c>
      <c r="S28" s="56"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28" s="54" t="str">
        <f>IF(tblPriorities[[#This Row],[ID]]="","",COUNTIFS(tblActions[Priority ID],tblPriorities[[#This Row],[ID]],tblActions[Status],"Planned")+COUNTIFS(tblActions[Priority ID],tblPriorities[[#This Row],[ID]],tblActions[Status],"In Progress"))</f>
        <v/>
      </c>
      <c r="U28" s="54"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29">
      <c r="A29" s="52" t="n"/>
      <c r="B29" s="52" t="n"/>
      <c r="C29" s="26" t="n"/>
      <c r="D29" s="26" t="n"/>
      <c r="E29" s="26" t="n"/>
      <c r="F29" s="52" t="n"/>
      <c r="G29" s="52" t="n"/>
      <c r="H29" s="52" t="n"/>
      <c r="I29" s="52" t="n"/>
      <c r="J29" s="26" t="n"/>
      <c r="K29" s="52" t="n"/>
      <c r="L29" s="53" t="n"/>
      <c r="M29" s="26" t="n"/>
      <c r="N29" s="26" t="n"/>
      <c r="O29" s="26" t="n"/>
      <c r="P29" s="54" t="str">
        <f>IF(tblPriorities[[#This Row],[Next Key Date]]="","",tblPriorities[[#This Row],[Next Key Date]]-AsOf)</f>
        <v/>
      </c>
      <c r="Q29" s="56" t="str">
        <f>IF(tblPriorities[[#This Row],[ID]]="","",IF(tblPriorities[[#This Row],[Next Key Date]]="","No Date",IF(tblPriorities[[#This Row],[Next Key Date]]&lt;AsOf,"Passed",IF(tblPriorities[[#This Row],[Next Key Date]]-AsOf&lt;=14,"Within 14 Days",IF(tblPriorities[[#This Row],[Next Key Date]]-AsOf&lt;=30,"Within 30 Days","Later")))))</f>
        <v/>
      </c>
      <c r="R29" s="54">
        <f>IF(tblPriorities[[#This Row],[ID]]="",0,IF(OR(tblPriorities[[#This Row],[Stage]]="Resolved Favorable",tblPriorities[[#This Row],[Stage]]="Resolved Unfavorable",tblPriorities[[#This Row],[Stage]]="Inactive"),0,1))</f>
        <v>0</v>
      </c>
      <c r="S29" s="56"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29" s="54" t="str">
        <f>IF(tblPriorities[[#This Row],[ID]]="","",COUNTIFS(tblActions[Priority ID],tblPriorities[[#This Row],[ID]],tblActions[Status],"Planned")+COUNTIFS(tblActions[Priority ID],tblPriorities[[#This Row],[ID]],tblActions[Status],"In Progress"))</f>
        <v/>
      </c>
      <c r="U29" s="54"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30">
      <c r="A30" s="52" t="n"/>
      <c r="B30" s="52" t="n"/>
      <c r="C30" s="26" t="n"/>
      <c r="D30" s="26" t="n"/>
      <c r="E30" s="26" t="n"/>
      <c r="F30" s="52" t="n"/>
      <c r="G30" s="52" t="n"/>
      <c r="H30" s="52" t="n"/>
      <c r="I30" s="52" t="n"/>
      <c r="J30" s="26" t="n"/>
      <c r="K30" s="52" t="n"/>
      <c r="L30" s="53" t="n"/>
      <c r="M30" s="26" t="n"/>
      <c r="N30" s="26" t="n"/>
      <c r="O30" s="26" t="n"/>
      <c r="P30" s="54" t="str">
        <f>IF(tblPriorities[[#This Row],[Next Key Date]]="","",tblPriorities[[#This Row],[Next Key Date]]-AsOf)</f>
        <v/>
      </c>
      <c r="Q30" s="56" t="str">
        <f>IF(tblPriorities[[#This Row],[ID]]="","",IF(tblPriorities[[#This Row],[Next Key Date]]="","No Date",IF(tblPriorities[[#This Row],[Next Key Date]]&lt;AsOf,"Passed",IF(tblPriorities[[#This Row],[Next Key Date]]-AsOf&lt;=14,"Within 14 Days",IF(tblPriorities[[#This Row],[Next Key Date]]-AsOf&lt;=30,"Within 30 Days","Later")))))</f>
        <v/>
      </c>
      <c r="R30" s="54">
        <f>IF(tblPriorities[[#This Row],[ID]]="",0,IF(OR(tblPriorities[[#This Row],[Stage]]="Resolved Favorable",tblPriorities[[#This Row],[Stage]]="Resolved Unfavorable",tblPriorities[[#This Row],[Stage]]="Inactive"),0,1))</f>
        <v>0</v>
      </c>
      <c r="S30" s="56"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30" s="54" t="str">
        <f>IF(tblPriorities[[#This Row],[ID]]="","",COUNTIFS(tblActions[Priority ID],tblPriorities[[#This Row],[ID]],tblActions[Status],"Planned")+COUNTIFS(tblActions[Priority ID],tblPriorities[[#This Row],[ID]],tblActions[Status],"In Progress"))</f>
        <v/>
      </c>
      <c r="U30" s="54"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31">
      <c r="A31" s="52" t="n"/>
      <c r="B31" s="52" t="n"/>
      <c r="C31" s="26" t="n"/>
      <c r="D31" s="26" t="n"/>
      <c r="E31" s="26" t="n"/>
      <c r="F31" s="52" t="n"/>
      <c r="G31" s="52" t="n"/>
      <c r="H31" s="52" t="n"/>
      <c r="I31" s="52" t="n"/>
      <c r="J31" s="26" t="n"/>
      <c r="K31" s="52" t="n"/>
      <c r="L31" s="53" t="n"/>
      <c r="M31" s="26" t="n"/>
      <c r="N31" s="26" t="n"/>
      <c r="O31" s="26" t="n"/>
      <c r="P31" s="54" t="str">
        <f>IF(tblPriorities[[#This Row],[Next Key Date]]="","",tblPriorities[[#This Row],[Next Key Date]]-AsOf)</f>
        <v/>
      </c>
      <c r="Q31" s="56" t="str">
        <f>IF(tblPriorities[[#This Row],[ID]]="","",IF(tblPriorities[[#This Row],[Next Key Date]]="","No Date",IF(tblPriorities[[#This Row],[Next Key Date]]&lt;AsOf,"Passed",IF(tblPriorities[[#This Row],[Next Key Date]]-AsOf&lt;=14,"Within 14 Days",IF(tblPriorities[[#This Row],[Next Key Date]]-AsOf&lt;=30,"Within 30 Days","Later")))))</f>
        <v/>
      </c>
      <c r="R31" s="54">
        <f>IF(tblPriorities[[#This Row],[ID]]="",0,IF(OR(tblPriorities[[#This Row],[Stage]]="Resolved Favorable",tblPriorities[[#This Row],[Stage]]="Resolved Unfavorable",tblPriorities[[#This Row],[Stage]]="Inactive"),0,1))</f>
        <v>0</v>
      </c>
      <c r="S31" s="56"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31" s="54" t="str">
        <f>IF(tblPriorities[[#This Row],[ID]]="","",COUNTIFS(tblActions[Priority ID],tblPriorities[[#This Row],[ID]],tblActions[Status],"Planned")+COUNTIFS(tblActions[Priority ID],tblPriorities[[#This Row],[ID]],tblActions[Status],"In Progress"))</f>
        <v/>
      </c>
      <c r="U31" s="54"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32">
      <c r="A32" s="52" t="n"/>
      <c r="B32" s="52" t="n"/>
      <c r="C32" s="26" t="n"/>
      <c r="D32" s="26" t="n"/>
      <c r="E32" s="26" t="n"/>
      <c r="F32" s="52" t="n"/>
      <c r="G32" s="52" t="n"/>
      <c r="H32" s="52" t="n"/>
      <c r="I32" s="52" t="n"/>
      <c r="J32" s="26" t="n"/>
      <c r="K32" s="52" t="n"/>
      <c r="L32" s="53" t="n"/>
      <c r="M32" s="26" t="n"/>
      <c r="N32" s="26" t="n"/>
      <c r="O32" s="26" t="n"/>
      <c r="P32" s="54" t="str">
        <f>IF(tblPriorities[[#This Row],[Next Key Date]]="","",tblPriorities[[#This Row],[Next Key Date]]-AsOf)</f>
        <v/>
      </c>
      <c r="Q32" s="56" t="str">
        <f>IF(tblPriorities[[#This Row],[ID]]="","",IF(tblPriorities[[#This Row],[Next Key Date]]="","No Date",IF(tblPriorities[[#This Row],[Next Key Date]]&lt;AsOf,"Passed",IF(tblPriorities[[#This Row],[Next Key Date]]-AsOf&lt;=14,"Within 14 Days",IF(tblPriorities[[#This Row],[Next Key Date]]-AsOf&lt;=30,"Within 30 Days","Later")))))</f>
        <v/>
      </c>
      <c r="R32" s="54">
        <f>IF(tblPriorities[[#This Row],[ID]]="",0,IF(OR(tblPriorities[[#This Row],[Stage]]="Resolved Favorable",tblPriorities[[#This Row],[Stage]]="Resolved Unfavorable",tblPriorities[[#This Row],[Stage]]="Inactive"),0,1))</f>
        <v>0</v>
      </c>
      <c r="S32" s="56"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32" s="54" t="str">
        <f>IF(tblPriorities[[#This Row],[ID]]="","",COUNTIFS(tblActions[Priority ID],tblPriorities[[#This Row],[ID]],tblActions[Status],"Planned")+COUNTIFS(tblActions[Priority ID],tblPriorities[[#This Row],[ID]],tblActions[Status],"In Progress"))</f>
        <v/>
      </c>
      <c r="U32" s="54"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33">
      <c r="A33" s="52" t="n"/>
      <c r="B33" s="52" t="n"/>
      <c r="C33" s="26" t="n"/>
      <c r="D33" s="26" t="n"/>
      <c r="E33" s="26" t="n"/>
      <c r="F33" s="52" t="n"/>
      <c r="G33" s="52" t="n"/>
      <c r="H33" s="52" t="n"/>
      <c r="I33" s="52" t="n"/>
      <c r="J33" s="26" t="n"/>
      <c r="K33" s="52" t="n"/>
      <c r="L33" s="53" t="n"/>
      <c r="M33" s="26" t="n"/>
      <c r="N33" s="26" t="n"/>
      <c r="O33" s="26" t="n"/>
      <c r="P33" s="54" t="str">
        <f>IF(tblPriorities[[#This Row],[Next Key Date]]="","",tblPriorities[[#This Row],[Next Key Date]]-AsOf)</f>
        <v/>
      </c>
      <c r="Q33" s="56" t="str">
        <f>IF(tblPriorities[[#This Row],[ID]]="","",IF(tblPriorities[[#This Row],[Next Key Date]]="","No Date",IF(tblPriorities[[#This Row],[Next Key Date]]&lt;AsOf,"Passed",IF(tblPriorities[[#This Row],[Next Key Date]]-AsOf&lt;=14,"Within 14 Days",IF(tblPriorities[[#This Row],[Next Key Date]]-AsOf&lt;=30,"Within 30 Days","Later")))))</f>
        <v/>
      </c>
      <c r="R33" s="54">
        <f>IF(tblPriorities[[#This Row],[ID]]="",0,IF(OR(tblPriorities[[#This Row],[Stage]]="Resolved Favorable",tblPriorities[[#This Row],[Stage]]="Resolved Unfavorable",tblPriorities[[#This Row],[Stage]]="Inactive"),0,1))</f>
        <v>0</v>
      </c>
      <c r="S33" s="56"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33" s="54" t="str">
        <f>IF(tblPriorities[[#This Row],[ID]]="","",COUNTIFS(tblActions[Priority ID],tblPriorities[[#This Row],[ID]],tblActions[Status],"Planned")+COUNTIFS(tblActions[Priority ID],tblPriorities[[#This Row],[ID]],tblActions[Status],"In Progress"))</f>
        <v/>
      </c>
      <c r="U33" s="54"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34">
      <c r="A34" s="52" t="n"/>
      <c r="B34" s="52" t="n"/>
      <c r="C34" s="26" t="n"/>
      <c r="D34" s="26" t="n"/>
      <c r="E34" s="26" t="n"/>
      <c r="F34" s="52" t="n"/>
      <c r="G34" s="52" t="n"/>
      <c r="H34" s="52" t="n"/>
      <c r="I34" s="52" t="n"/>
      <c r="J34" s="26" t="n"/>
      <c r="K34" s="52" t="n"/>
      <c r="L34" s="53" t="n"/>
      <c r="M34" s="26" t="n"/>
      <c r="N34" s="26" t="n"/>
      <c r="O34" s="26" t="n"/>
      <c r="P34" s="54" t="str">
        <f>IF(tblPriorities[[#This Row],[Next Key Date]]="","",tblPriorities[[#This Row],[Next Key Date]]-AsOf)</f>
        <v/>
      </c>
      <c r="Q34" s="56" t="str">
        <f>IF(tblPriorities[[#This Row],[ID]]="","",IF(tblPriorities[[#This Row],[Next Key Date]]="","No Date",IF(tblPriorities[[#This Row],[Next Key Date]]&lt;AsOf,"Passed",IF(tblPriorities[[#This Row],[Next Key Date]]-AsOf&lt;=14,"Within 14 Days",IF(tblPriorities[[#This Row],[Next Key Date]]-AsOf&lt;=30,"Within 30 Days","Later")))))</f>
        <v/>
      </c>
      <c r="R34" s="54">
        <f>IF(tblPriorities[[#This Row],[ID]]="",0,IF(OR(tblPriorities[[#This Row],[Stage]]="Resolved Favorable",tblPriorities[[#This Row],[Stage]]="Resolved Unfavorable",tblPriorities[[#This Row],[Stage]]="Inactive"),0,1))</f>
        <v>0</v>
      </c>
      <c r="S34" s="56"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34" s="54" t="str">
        <f>IF(tblPriorities[[#This Row],[ID]]="","",COUNTIFS(tblActions[Priority ID],tblPriorities[[#This Row],[ID]],tblActions[Status],"Planned")+COUNTIFS(tblActions[Priority ID],tblPriorities[[#This Row],[ID]],tblActions[Status],"In Progress"))</f>
        <v/>
      </c>
      <c r="U34" s="54"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35">
      <c r="A35" s="52" t="n"/>
      <c r="B35" s="52" t="n"/>
      <c r="C35" s="26" t="n"/>
      <c r="D35" s="26" t="n"/>
      <c r="E35" s="26" t="n"/>
      <c r="F35" s="52" t="n"/>
      <c r="G35" s="52" t="n"/>
      <c r="H35" s="52" t="n"/>
      <c r="I35" s="52" t="n"/>
      <c r="J35" s="26" t="n"/>
      <c r="K35" s="52" t="n"/>
      <c r="L35" s="53" t="n"/>
      <c r="M35" s="26" t="n"/>
      <c r="N35" s="26" t="n"/>
      <c r="O35" s="26" t="n"/>
      <c r="P35" s="54" t="str">
        <f>IF(tblPriorities[[#This Row],[Next Key Date]]="","",tblPriorities[[#This Row],[Next Key Date]]-AsOf)</f>
        <v/>
      </c>
      <c r="Q35" s="56" t="str">
        <f>IF(tblPriorities[[#This Row],[ID]]="","",IF(tblPriorities[[#This Row],[Next Key Date]]="","No Date",IF(tblPriorities[[#This Row],[Next Key Date]]&lt;AsOf,"Passed",IF(tblPriorities[[#This Row],[Next Key Date]]-AsOf&lt;=14,"Within 14 Days",IF(tblPriorities[[#This Row],[Next Key Date]]-AsOf&lt;=30,"Within 30 Days","Later")))))</f>
        <v/>
      </c>
      <c r="R35" s="54">
        <f>IF(tblPriorities[[#This Row],[ID]]="",0,IF(OR(tblPriorities[[#This Row],[Stage]]="Resolved Favorable",tblPriorities[[#This Row],[Stage]]="Resolved Unfavorable",tblPriorities[[#This Row],[Stage]]="Inactive"),0,1))</f>
        <v>0</v>
      </c>
      <c r="S35" s="56"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35" s="54" t="str">
        <f>IF(tblPriorities[[#This Row],[ID]]="","",COUNTIFS(tblActions[Priority ID],tblPriorities[[#This Row],[ID]],tblActions[Status],"Planned")+COUNTIFS(tblActions[Priority ID],tblPriorities[[#This Row],[ID]],tblActions[Status],"In Progress"))</f>
        <v/>
      </c>
      <c r="U35" s="54"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sheetData>
  <conditionalFormatting sqref="S6:S35">
    <cfRule type="expression" priority="1" dxfId="3">
      <formula>LEN(S6)&gt;0</formula>
    </cfRule>
  </conditionalFormatting>
  <conditionalFormatting sqref="Q6:Q35">
    <cfRule type="cellIs" priority="2" operator="equal" dxfId="3">
      <formula>"Within 14 Days"</formula>
    </cfRule>
    <cfRule type="cellIs" priority="3" operator="equal" dxfId="4">
      <formula>"Passed"</formula>
    </cfRule>
  </conditionalFormatting>
  <conditionalFormatting sqref="K6:K35">
    <cfRule type="cellIs" priority="4" operator="equal" dxfId="9">
      <formula>"In Review"</formula>
    </cfRule>
    <cfRule type="cellIs" priority="5" operator="equal" dxfId="9">
      <formula>"On Hold"</formula>
    </cfRule>
  </conditionalFormatting>
  <dataValidations count="9">
    <dataValidation sqref="B6:B35" showDropDown="0" showInputMessage="0" showErrorMessage="1" allowBlank="1" errorTitle="Choose from the list" error="Pick a value from the dropdown. Edit the lists on the Lists sheet." type="list" errorStyle="stop">
      <formula1>=lstTrack</formula1>
    </dataValidation>
    <dataValidation sqref="C6:C35" showDropDown="0" showInputMessage="0" showErrorMessage="1" allowBlank="1" errorTitle="Choose from the list" error="Pick a value from the dropdown. Edit the lists on the Lists sheet." type="list" errorStyle="stop">
      <formula1>=lstItemType</formula1>
    </dataValidation>
    <dataValidation sqref="F6:F35" showDropDown="0" showInputMessage="0" showErrorMessage="1" allowBlank="1" errorTitle="Choose from the list" error="Pick a value from the dropdown. Edit the lists on the Lists sheet." type="list" errorStyle="stop">
      <formula1>=lstLevel</formula1>
    </dataValidation>
    <dataValidation sqref="G6:G35" showDropDown="0" showInputMessage="0" showErrorMessage="1" allowBlank="1" errorTitle="Choose from the list" error="Pick a value from the dropdown. Edit the lists on the Lists sheet." type="list" errorStyle="stop">
      <formula1>=lstPosition</formula1>
    </dataValidation>
    <dataValidation sqref="H6:H35" showDropDown="0" showInputMessage="0" showErrorMessage="1" allowBlank="1" errorTitle="Choose from the list" error="Pick a value from the dropdown. Edit the lists on the Lists sheet." type="list" errorStyle="stop">
      <formula1>=rngObjIDs</formula1>
    </dataValidation>
    <dataValidation sqref="I6:I35" showDropDown="0" showInputMessage="0" showErrorMessage="1" allowBlank="1" errorTitle="Name not on the People list" error="This name is not on the People list on the Lists sheet. Add it there, or continue to keep what you typed." type="list" errorStyle="warning">
      <formula1>=lstPeople</formula1>
    </dataValidation>
    <dataValidation sqref="J6:J35" showDropDown="0" showInputMessage="0" showErrorMessage="1" allowBlank="1" errorTitle="Choose from the list" error="Pick a value from the dropdown. Edit the lists on the Lists sheet." type="list" errorStyle="stop">
      <formula1>=lstStage</formula1>
    </dataValidation>
    <dataValidation sqref="K6:K35" showDropDown="0" showInputMessage="0" showErrorMessage="1" allowBlank="1" errorTitle="Choose from the list" error="Pick a value from the dropdown. Edit the lists on the Lists sheet." type="list" errorStyle="stop">
      <formula1>=lstClearance</formula1>
    </dataValidation>
    <dataValidation sqref="L6:L35" showDropDown="0" showInputMessage="0" showErrorMessage="1" allowBlank="1" errorTitle="Enter a date" error="Enter a valid date, for example 4/15/2027." type="date" errorStyle="stop" operator="greaterThanOrEqual">
      <formula1>36526</formula1>
    </dataValidation>
  </dataValidations>
  <pageMargins left="0.5" right="0.5" top="1" bottom="1" header="0.5" footer="0.5"/>
  <pageSetup orientation="landscape" fitToHeight="0" fitToWidth="1"/>
  <headerFooter>
    <oddHeader/>
    <oddFooter>&amp;L&amp;8 Intergov Association | Strategic Plan Tracker&amp;R&amp;8 &amp;A | Page &amp;P of &amp;N</oddFooter>
    <evenHeader/>
    <evenFooter/>
    <firstHeader/>
    <firstFooter/>
  </headerFooter>
  <tableParts count="1">
    <tablePart xmlns:r="http://schemas.openxmlformats.org/officeDocument/2006/relationships" r:id="rId1"/>
  </tableParts>
</worksheet>
</file>

<file path=xl/worksheets/sheet6.xml><?xml version="1.0" encoding="utf-8"?>
<worksheet xmlns="http://schemas.openxmlformats.org/spreadsheetml/2006/main">
  <sheetPr>
    <tabColor rgb="00192E43"/>
    <outlinePr summaryBelow="1" summaryRight="1"/>
    <pageSetUpPr fitToPage="1"/>
  </sheetPr>
  <dimension ref="A1:N125"/>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9" customWidth="1" min="1" max="1"/>
    <col width="12" customWidth="1" min="2" max="2"/>
    <col width="20" customWidth="1" min="3" max="3"/>
    <col width="44" customWidth="1" min="4" max="4"/>
    <col width="11" customWidth="1" min="5" max="5"/>
    <col width="11" customWidth="1" min="6" max="6"/>
    <col width="11" customWidth="1" min="7" max="7"/>
    <col width="16" customWidth="1" min="8" max="8"/>
    <col width="12" customWidth="1" min="9" max="9"/>
    <col width="48" customWidth="1" min="10" max="10"/>
    <col width="34" customWidth="1" min="11" max="11"/>
    <col width="8" customWidth="1" min="12" max="12"/>
    <col width="15" customWidth="1" min="13" max="13"/>
    <col width="9" customWidth="1" min="14" max="14"/>
  </cols>
  <sheetData>
    <row r="1">
      <c r="A1" s="45" t="inlineStr">
        <is>
          <t>Engagement and Action Log</t>
        </is>
      </c>
    </row>
    <row r="2">
      <c r="A2" s="2" t="inlineStr">
        <is>
          <t>Meetings, briefings, testimony, and other engagement. Completed actions update Last Contact on the Relationships sheet.</t>
        </is>
      </c>
    </row>
    <row r="3">
      <c r="A3" s="18" t="inlineStr">
        <is>
          <t>Navy headers: enter data. Slate headers with gray cells: calculated, do not overwrite. Row 4 (italic) shows the expected format and is not part of the table.</t>
        </is>
      </c>
    </row>
    <row r="4" ht="64" customHeight="1">
      <c r="A4" s="40" t="inlineStr">
        <is>
          <t>ACT-001</t>
        </is>
      </c>
      <c r="B4" s="46" t="n">
        <v>46454</v>
      </c>
      <c r="C4" s="40" t="inlineStr">
        <is>
          <t>Meeting</t>
        </is>
      </c>
      <c r="D4" s="40" t="inlineStr">
        <is>
          <t>Meet agency program staff on the funding commitment</t>
        </is>
      </c>
      <c r="E4" s="40" t="inlineStr">
        <is>
          <t>OBJ-3</t>
        </is>
      </c>
      <c r="F4" s="40" t="inlineStr">
        <is>
          <t>REL-05</t>
        </is>
      </c>
      <c r="G4" s="40" t="inlineStr">
        <is>
          <t>ADM-02</t>
        </is>
      </c>
      <c r="H4" s="40" t="inlineStr">
        <is>
          <t>Name</t>
        </is>
      </c>
      <c r="I4" s="40" t="inlineStr">
        <is>
          <t>Complete</t>
        </is>
      </c>
      <c r="J4" s="40" t="inlineStr">
        <is>
          <t>What changed as a result of the meeting.</t>
        </is>
      </c>
      <c r="K4" s="40" t="inlineStr">
        <is>
          <t>Send the agreement timeline to agency staff</t>
        </is>
      </c>
      <c r="L4" s="49" t="n"/>
      <c r="M4" s="49" t="n"/>
      <c r="N4" s="47" t="n"/>
    </row>
    <row r="5" ht="34" customHeight="1">
      <c r="A5" s="50" t="inlineStr">
        <is>
          <t>ID</t>
        </is>
      </c>
      <c r="B5" s="50" t="inlineStr">
        <is>
          <t>Date</t>
        </is>
      </c>
      <c r="C5" s="50" t="inlineStr">
        <is>
          <t>Action Type</t>
        </is>
      </c>
      <c r="D5" s="50" t="inlineStr">
        <is>
          <t>Description</t>
        </is>
      </c>
      <c r="E5" s="50" t="inlineStr">
        <is>
          <t>Objective ID</t>
        </is>
      </c>
      <c r="F5" s="50" t="inlineStr">
        <is>
          <t>Relationship ID</t>
        </is>
      </c>
      <c r="G5" s="50" t="inlineStr">
        <is>
          <t>Priority ID</t>
        </is>
      </c>
      <c r="H5" s="50" t="inlineStr">
        <is>
          <t>Owner</t>
        </is>
      </c>
      <c r="I5" s="50" t="inlineStr">
        <is>
          <t>Status</t>
        </is>
      </c>
      <c r="J5" s="50" t="inlineStr">
        <is>
          <t>Outcome or Result</t>
        </is>
      </c>
      <c r="K5" s="50" t="inlineStr">
        <is>
          <t>Next Step</t>
        </is>
      </c>
      <c r="L5" s="51" t="inlineStr">
        <is>
          <t>Quarter</t>
        </is>
      </c>
      <c r="M5" s="51" t="inlineStr">
        <is>
          <t>Timing Flag</t>
        </is>
      </c>
      <c r="N5" s="51" t="inlineStr">
        <is>
          <t>Days Overdue</t>
        </is>
      </c>
    </row>
    <row r="6">
      <c r="A6" s="52" t="n"/>
      <c r="B6" s="53" t="n"/>
      <c r="C6" s="26" t="n"/>
      <c r="D6" s="26" t="n"/>
      <c r="E6" s="52" t="n"/>
      <c r="F6" s="52" t="n"/>
      <c r="G6" s="52" t="n"/>
      <c r="H6" s="52" t="n"/>
      <c r="I6" s="52" t="n"/>
      <c r="J6" s="26" t="n"/>
      <c r="K6" s="26" t="n"/>
      <c r="L6" s="59" t="str">
        <f>IF(tblActions[[#This Row],[Date]]="","","Q"&amp;(INT(MOD(MONTH(tblActions[[#This Row],[Date]])-StartMonth,12)/3)+1))</f>
        <v/>
      </c>
      <c r="M6"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6" s="54" t="str">
        <f>IF(tblActions[[#This Row],[Timing Flag]]="Overdue",AsOf-tblActions[[#This Row],[Date]],"")</f>
        <v/>
      </c>
    </row>
    <row r="7">
      <c r="A7" s="52" t="n"/>
      <c r="B7" s="53" t="n"/>
      <c r="C7" s="26" t="n"/>
      <c r="D7" s="26" t="n"/>
      <c r="E7" s="52" t="n"/>
      <c r="F7" s="52" t="n"/>
      <c r="G7" s="52" t="n"/>
      <c r="H7" s="52" t="n"/>
      <c r="I7" s="52" t="n"/>
      <c r="J7" s="26" t="n"/>
      <c r="K7" s="26" t="n"/>
      <c r="L7" s="59" t="str">
        <f>IF(tblActions[[#This Row],[Date]]="","","Q"&amp;(INT(MOD(MONTH(tblActions[[#This Row],[Date]])-StartMonth,12)/3)+1))</f>
        <v/>
      </c>
      <c r="M7"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7" s="54" t="str">
        <f>IF(tblActions[[#This Row],[Timing Flag]]="Overdue",AsOf-tblActions[[#This Row],[Date]],"")</f>
        <v/>
      </c>
    </row>
    <row r="8">
      <c r="A8" s="52" t="n"/>
      <c r="B8" s="53" t="n"/>
      <c r="C8" s="26" t="n"/>
      <c r="D8" s="26" t="n"/>
      <c r="E8" s="52" t="n"/>
      <c r="F8" s="52" t="n"/>
      <c r="G8" s="52" t="n"/>
      <c r="H8" s="52" t="n"/>
      <c r="I8" s="52" t="n"/>
      <c r="J8" s="26" t="n"/>
      <c r="K8" s="26" t="n"/>
      <c r="L8" s="59" t="str">
        <f>IF(tblActions[[#This Row],[Date]]="","","Q"&amp;(INT(MOD(MONTH(tblActions[[#This Row],[Date]])-StartMonth,12)/3)+1))</f>
        <v/>
      </c>
      <c r="M8"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8" s="54" t="str">
        <f>IF(tblActions[[#This Row],[Timing Flag]]="Overdue",AsOf-tblActions[[#This Row],[Date]],"")</f>
        <v/>
      </c>
    </row>
    <row r="9">
      <c r="A9" s="52" t="n"/>
      <c r="B9" s="53" t="n"/>
      <c r="C9" s="26" t="n"/>
      <c r="D9" s="26" t="n"/>
      <c r="E9" s="52" t="n"/>
      <c r="F9" s="52" t="n"/>
      <c r="G9" s="52" t="n"/>
      <c r="H9" s="52" t="n"/>
      <c r="I9" s="52" t="n"/>
      <c r="J9" s="26" t="n"/>
      <c r="K9" s="26" t="n"/>
      <c r="L9" s="59" t="str">
        <f>IF(tblActions[[#This Row],[Date]]="","","Q"&amp;(INT(MOD(MONTH(tblActions[[#This Row],[Date]])-StartMonth,12)/3)+1))</f>
        <v/>
      </c>
      <c r="M9"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9" s="54" t="str">
        <f>IF(tblActions[[#This Row],[Timing Flag]]="Overdue",AsOf-tblActions[[#This Row],[Date]],"")</f>
        <v/>
      </c>
    </row>
    <row r="10">
      <c r="A10" s="52" t="n"/>
      <c r="B10" s="53" t="n"/>
      <c r="C10" s="26" t="n"/>
      <c r="D10" s="26" t="n"/>
      <c r="E10" s="52" t="n"/>
      <c r="F10" s="52" t="n"/>
      <c r="G10" s="52" t="n"/>
      <c r="H10" s="52" t="n"/>
      <c r="I10" s="52" t="n"/>
      <c r="J10" s="26" t="n"/>
      <c r="K10" s="26" t="n"/>
      <c r="L10" s="59" t="str">
        <f>IF(tblActions[[#This Row],[Date]]="","","Q"&amp;(INT(MOD(MONTH(tblActions[[#This Row],[Date]])-StartMonth,12)/3)+1))</f>
        <v/>
      </c>
      <c r="M10"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0" s="54" t="str">
        <f>IF(tblActions[[#This Row],[Timing Flag]]="Overdue",AsOf-tblActions[[#This Row],[Date]],"")</f>
        <v/>
      </c>
    </row>
    <row r="11">
      <c r="A11" s="52" t="n"/>
      <c r="B11" s="53" t="n"/>
      <c r="C11" s="26" t="n"/>
      <c r="D11" s="26" t="n"/>
      <c r="E11" s="52" t="n"/>
      <c r="F11" s="52" t="n"/>
      <c r="G11" s="52" t="n"/>
      <c r="H11" s="52" t="n"/>
      <c r="I11" s="52" t="n"/>
      <c r="J11" s="26" t="n"/>
      <c r="K11" s="26" t="n"/>
      <c r="L11" s="59" t="str">
        <f>IF(tblActions[[#This Row],[Date]]="","","Q"&amp;(INT(MOD(MONTH(tblActions[[#This Row],[Date]])-StartMonth,12)/3)+1))</f>
        <v/>
      </c>
      <c r="M11"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1" s="54" t="str">
        <f>IF(tblActions[[#This Row],[Timing Flag]]="Overdue",AsOf-tblActions[[#This Row],[Date]],"")</f>
        <v/>
      </c>
    </row>
    <row r="12">
      <c r="A12" s="52" t="n"/>
      <c r="B12" s="53" t="n"/>
      <c r="C12" s="26" t="n"/>
      <c r="D12" s="26" t="n"/>
      <c r="E12" s="52" t="n"/>
      <c r="F12" s="52" t="n"/>
      <c r="G12" s="52" t="n"/>
      <c r="H12" s="52" t="n"/>
      <c r="I12" s="52" t="n"/>
      <c r="J12" s="26" t="n"/>
      <c r="K12" s="26" t="n"/>
      <c r="L12" s="59" t="str">
        <f>IF(tblActions[[#This Row],[Date]]="","","Q"&amp;(INT(MOD(MONTH(tblActions[[#This Row],[Date]])-StartMonth,12)/3)+1))</f>
        <v/>
      </c>
      <c r="M12"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2" s="54" t="str">
        <f>IF(tblActions[[#This Row],[Timing Flag]]="Overdue",AsOf-tblActions[[#This Row],[Date]],"")</f>
        <v/>
      </c>
    </row>
    <row r="13">
      <c r="A13" s="52" t="n"/>
      <c r="B13" s="53" t="n"/>
      <c r="C13" s="26" t="n"/>
      <c r="D13" s="26" t="n"/>
      <c r="E13" s="52" t="n"/>
      <c r="F13" s="52" t="n"/>
      <c r="G13" s="52" t="n"/>
      <c r="H13" s="52" t="n"/>
      <c r="I13" s="52" t="n"/>
      <c r="J13" s="26" t="n"/>
      <c r="K13" s="26" t="n"/>
      <c r="L13" s="59" t="str">
        <f>IF(tblActions[[#This Row],[Date]]="","","Q"&amp;(INT(MOD(MONTH(tblActions[[#This Row],[Date]])-StartMonth,12)/3)+1))</f>
        <v/>
      </c>
      <c r="M13"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3" s="54" t="str">
        <f>IF(tblActions[[#This Row],[Timing Flag]]="Overdue",AsOf-tblActions[[#This Row],[Date]],"")</f>
        <v/>
      </c>
    </row>
    <row r="14">
      <c r="A14" s="52" t="n"/>
      <c r="B14" s="53" t="n"/>
      <c r="C14" s="26" t="n"/>
      <c r="D14" s="26" t="n"/>
      <c r="E14" s="52" t="n"/>
      <c r="F14" s="52" t="n"/>
      <c r="G14" s="52" t="n"/>
      <c r="H14" s="52" t="n"/>
      <c r="I14" s="52" t="n"/>
      <c r="J14" s="26" t="n"/>
      <c r="K14" s="26" t="n"/>
      <c r="L14" s="59" t="str">
        <f>IF(tblActions[[#This Row],[Date]]="","","Q"&amp;(INT(MOD(MONTH(tblActions[[#This Row],[Date]])-StartMonth,12)/3)+1))</f>
        <v/>
      </c>
      <c r="M14"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4" s="54" t="str">
        <f>IF(tblActions[[#This Row],[Timing Flag]]="Overdue",AsOf-tblActions[[#This Row],[Date]],"")</f>
        <v/>
      </c>
    </row>
    <row r="15">
      <c r="A15" s="52" t="n"/>
      <c r="B15" s="53" t="n"/>
      <c r="C15" s="26" t="n"/>
      <c r="D15" s="26" t="n"/>
      <c r="E15" s="52" t="n"/>
      <c r="F15" s="52" t="n"/>
      <c r="G15" s="52" t="n"/>
      <c r="H15" s="52" t="n"/>
      <c r="I15" s="52" t="n"/>
      <c r="J15" s="26" t="n"/>
      <c r="K15" s="26" t="n"/>
      <c r="L15" s="59" t="str">
        <f>IF(tblActions[[#This Row],[Date]]="","","Q"&amp;(INT(MOD(MONTH(tblActions[[#This Row],[Date]])-StartMonth,12)/3)+1))</f>
        <v/>
      </c>
      <c r="M15"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5" s="54" t="str">
        <f>IF(tblActions[[#This Row],[Timing Flag]]="Overdue",AsOf-tblActions[[#This Row],[Date]],"")</f>
        <v/>
      </c>
    </row>
    <row r="16">
      <c r="A16" s="52" t="n"/>
      <c r="B16" s="53" t="n"/>
      <c r="C16" s="26" t="n"/>
      <c r="D16" s="26" t="n"/>
      <c r="E16" s="52" t="n"/>
      <c r="F16" s="52" t="n"/>
      <c r="G16" s="52" t="n"/>
      <c r="H16" s="52" t="n"/>
      <c r="I16" s="52" t="n"/>
      <c r="J16" s="26" t="n"/>
      <c r="K16" s="26" t="n"/>
      <c r="L16" s="59" t="str">
        <f>IF(tblActions[[#This Row],[Date]]="","","Q"&amp;(INT(MOD(MONTH(tblActions[[#This Row],[Date]])-StartMonth,12)/3)+1))</f>
        <v/>
      </c>
      <c r="M16"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6" s="54" t="str">
        <f>IF(tblActions[[#This Row],[Timing Flag]]="Overdue",AsOf-tblActions[[#This Row],[Date]],"")</f>
        <v/>
      </c>
    </row>
    <row r="17">
      <c r="A17" s="52" t="n"/>
      <c r="B17" s="53" t="n"/>
      <c r="C17" s="26" t="n"/>
      <c r="D17" s="26" t="n"/>
      <c r="E17" s="52" t="n"/>
      <c r="F17" s="52" t="n"/>
      <c r="G17" s="52" t="n"/>
      <c r="H17" s="52" t="n"/>
      <c r="I17" s="52" t="n"/>
      <c r="J17" s="26" t="n"/>
      <c r="K17" s="26" t="n"/>
      <c r="L17" s="59" t="str">
        <f>IF(tblActions[[#This Row],[Date]]="","","Q"&amp;(INT(MOD(MONTH(tblActions[[#This Row],[Date]])-StartMonth,12)/3)+1))</f>
        <v/>
      </c>
      <c r="M17"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7" s="54" t="str">
        <f>IF(tblActions[[#This Row],[Timing Flag]]="Overdue",AsOf-tblActions[[#This Row],[Date]],"")</f>
        <v/>
      </c>
    </row>
    <row r="18">
      <c r="A18" s="52" t="n"/>
      <c r="B18" s="53" t="n"/>
      <c r="C18" s="26" t="n"/>
      <c r="D18" s="26" t="n"/>
      <c r="E18" s="52" t="n"/>
      <c r="F18" s="52" t="n"/>
      <c r="G18" s="52" t="n"/>
      <c r="H18" s="52" t="n"/>
      <c r="I18" s="52" t="n"/>
      <c r="J18" s="26" t="n"/>
      <c r="K18" s="26" t="n"/>
      <c r="L18" s="59" t="str">
        <f>IF(tblActions[[#This Row],[Date]]="","","Q"&amp;(INT(MOD(MONTH(tblActions[[#This Row],[Date]])-StartMonth,12)/3)+1))</f>
        <v/>
      </c>
      <c r="M18"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8" s="54" t="str">
        <f>IF(tblActions[[#This Row],[Timing Flag]]="Overdue",AsOf-tblActions[[#This Row],[Date]],"")</f>
        <v/>
      </c>
    </row>
    <row r="19">
      <c r="A19" s="52" t="n"/>
      <c r="B19" s="53" t="n"/>
      <c r="C19" s="26" t="n"/>
      <c r="D19" s="26" t="n"/>
      <c r="E19" s="52" t="n"/>
      <c r="F19" s="52" t="n"/>
      <c r="G19" s="52" t="n"/>
      <c r="H19" s="52" t="n"/>
      <c r="I19" s="52" t="n"/>
      <c r="J19" s="26" t="n"/>
      <c r="K19" s="26" t="n"/>
      <c r="L19" s="59" t="str">
        <f>IF(tblActions[[#This Row],[Date]]="","","Q"&amp;(INT(MOD(MONTH(tblActions[[#This Row],[Date]])-StartMonth,12)/3)+1))</f>
        <v/>
      </c>
      <c r="M19"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9" s="54" t="str">
        <f>IF(tblActions[[#This Row],[Timing Flag]]="Overdue",AsOf-tblActions[[#This Row],[Date]],"")</f>
        <v/>
      </c>
    </row>
    <row r="20">
      <c r="A20" s="52" t="n"/>
      <c r="B20" s="53" t="n"/>
      <c r="C20" s="26" t="n"/>
      <c r="D20" s="26" t="n"/>
      <c r="E20" s="52" t="n"/>
      <c r="F20" s="52" t="n"/>
      <c r="G20" s="52" t="n"/>
      <c r="H20" s="52" t="n"/>
      <c r="I20" s="52" t="n"/>
      <c r="J20" s="26" t="n"/>
      <c r="K20" s="26" t="n"/>
      <c r="L20" s="59" t="str">
        <f>IF(tblActions[[#This Row],[Date]]="","","Q"&amp;(INT(MOD(MONTH(tblActions[[#This Row],[Date]])-StartMonth,12)/3)+1))</f>
        <v/>
      </c>
      <c r="M20"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20" s="54" t="str">
        <f>IF(tblActions[[#This Row],[Timing Flag]]="Overdue",AsOf-tblActions[[#This Row],[Date]],"")</f>
        <v/>
      </c>
    </row>
    <row r="21">
      <c r="A21" s="52" t="n"/>
      <c r="B21" s="53" t="n"/>
      <c r="C21" s="26" t="n"/>
      <c r="D21" s="26" t="n"/>
      <c r="E21" s="52" t="n"/>
      <c r="F21" s="52" t="n"/>
      <c r="G21" s="52" t="n"/>
      <c r="H21" s="52" t="n"/>
      <c r="I21" s="52" t="n"/>
      <c r="J21" s="26" t="n"/>
      <c r="K21" s="26" t="n"/>
      <c r="L21" s="59" t="str">
        <f>IF(tblActions[[#This Row],[Date]]="","","Q"&amp;(INT(MOD(MONTH(tblActions[[#This Row],[Date]])-StartMonth,12)/3)+1))</f>
        <v/>
      </c>
      <c r="M21"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21" s="54" t="str">
        <f>IF(tblActions[[#This Row],[Timing Flag]]="Overdue",AsOf-tblActions[[#This Row],[Date]],"")</f>
        <v/>
      </c>
    </row>
    <row r="22">
      <c r="A22" s="52" t="n"/>
      <c r="B22" s="53" t="n"/>
      <c r="C22" s="26" t="n"/>
      <c r="D22" s="26" t="n"/>
      <c r="E22" s="52" t="n"/>
      <c r="F22" s="52" t="n"/>
      <c r="G22" s="52" t="n"/>
      <c r="H22" s="52" t="n"/>
      <c r="I22" s="52" t="n"/>
      <c r="J22" s="26" t="n"/>
      <c r="K22" s="26" t="n"/>
      <c r="L22" s="59" t="str">
        <f>IF(tblActions[[#This Row],[Date]]="","","Q"&amp;(INT(MOD(MONTH(tblActions[[#This Row],[Date]])-StartMonth,12)/3)+1))</f>
        <v/>
      </c>
      <c r="M22"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22" s="54" t="str">
        <f>IF(tblActions[[#This Row],[Timing Flag]]="Overdue",AsOf-tblActions[[#This Row],[Date]],"")</f>
        <v/>
      </c>
    </row>
    <row r="23">
      <c r="A23" s="52" t="n"/>
      <c r="B23" s="53" t="n"/>
      <c r="C23" s="26" t="n"/>
      <c r="D23" s="26" t="n"/>
      <c r="E23" s="52" t="n"/>
      <c r="F23" s="52" t="n"/>
      <c r="G23" s="52" t="n"/>
      <c r="H23" s="52" t="n"/>
      <c r="I23" s="52" t="n"/>
      <c r="J23" s="26" t="n"/>
      <c r="K23" s="26" t="n"/>
      <c r="L23" s="59" t="str">
        <f>IF(tblActions[[#This Row],[Date]]="","","Q"&amp;(INT(MOD(MONTH(tblActions[[#This Row],[Date]])-StartMonth,12)/3)+1))</f>
        <v/>
      </c>
      <c r="M23"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23" s="54" t="str">
        <f>IF(tblActions[[#This Row],[Timing Flag]]="Overdue",AsOf-tblActions[[#This Row],[Date]],"")</f>
        <v/>
      </c>
    </row>
    <row r="24">
      <c r="A24" s="52" t="n"/>
      <c r="B24" s="53" t="n"/>
      <c r="C24" s="26" t="n"/>
      <c r="D24" s="26" t="n"/>
      <c r="E24" s="52" t="n"/>
      <c r="F24" s="52" t="n"/>
      <c r="G24" s="52" t="n"/>
      <c r="H24" s="52" t="n"/>
      <c r="I24" s="52" t="n"/>
      <c r="J24" s="26" t="n"/>
      <c r="K24" s="26" t="n"/>
      <c r="L24" s="59" t="str">
        <f>IF(tblActions[[#This Row],[Date]]="","","Q"&amp;(INT(MOD(MONTH(tblActions[[#This Row],[Date]])-StartMonth,12)/3)+1))</f>
        <v/>
      </c>
      <c r="M24"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24" s="54" t="str">
        <f>IF(tblActions[[#This Row],[Timing Flag]]="Overdue",AsOf-tblActions[[#This Row],[Date]],"")</f>
        <v/>
      </c>
    </row>
    <row r="25">
      <c r="A25" s="52" t="n"/>
      <c r="B25" s="53" t="n"/>
      <c r="C25" s="26" t="n"/>
      <c r="D25" s="26" t="n"/>
      <c r="E25" s="52" t="n"/>
      <c r="F25" s="52" t="n"/>
      <c r="G25" s="52" t="n"/>
      <c r="H25" s="52" t="n"/>
      <c r="I25" s="52" t="n"/>
      <c r="J25" s="26" t="n"/>
      <c r="K25" s="26" t="n"/>
      <c r="L25" s="59" t="str">
        <f>IF(tblActions[[#This Row],[Date]]="","","Q"&amp;(INT(MOD(MONTH(tblActions[[#This Row],[Date]])-StartMonth,12)/3)+1))</f>
        <v/>
      </c>
      <c r="M25"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25" s="54" t="str">
        <f>IF(tblActions[[#This Row],[Timing Flag]]="Overdue",AsOf-tblActions[[#This Row],[Date]],"")</f>
        <v/>
      </c>
    </row>
    <row r="26">
      <c r="A26" s="52" t="n"/>
      <c r="B26" s="53" t="n"/>
      <c r="C26" s="26" t="n"/>
      <c r="D26" s="26" t="n"/>
      <c r="E26" s="52" t="n"/>
      <c r="F26" s="52" t="n"/>
      <c r="G26" s="52" t="n"/>
      <c r="H26" s="52" t="n"/>
      <c r="I26" s="52" t="n"/>
      <c r="J26" s="26" t="n"/>
      <c r="K26" s="26" t="n"/>
      <c r="L26" s="59" t="str">
        <f>IF(tblActions[[#This Row],[Date]]="","","Q"&amp;(INT(MOD(MONTH(tblActions[[#This Row],[Date]])-StartMonth,12)/3)+1))</f>
        <v/>
      </c>
      <c r="M26"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26" s="54" t="str">
        <f>IF(tblActions[[#This Row],[Timing Flag]]="Overdue",AsOf-tblActions[[#This Row],[Date]],"")</f>
        <v/>
      </c>
    </row>
    <row r="27">
      <c r="A27" s="52" t="n"/>
      <c r="B27" s="53" t="n"/>
      <c r="C27" s="26" t="n"/>
      <c r="D27" s="26" t="n"/>
      <c r="E27" s="52" t="n"/>
      <c r="F27" s="52" t="n"/>
      <c r="G27" s="52" t="n"/>
      <c r="H27" s="52" t="n"/>
      <c r="I27" s="52" t="n"/>
      <c r="J27" s="26" t="n"/>
      <c r="K27" s="26" t="n"/>
      <c r="L27" s="59" t="str">
        <f>IF(tblActions[[#This Row],[Date]]="","","Q"&amp;(INT(MOD(MONTH(tblActions[[#This Row],[Date]])-StartMonth,12)/3)+1))</f>
        <v/>
      </c>
      <c r="M27"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27" s="54" t="str">
        <f>IF(tblActions[[#This Row],[Timing Flag]]="Overdue",AsOf-tblActions[[#This Row],[Date]],"")</f>
        <v/>
      </c>
    </row>
    <row r="28">
      <c r="A28" s="52" t="n"/>
      <c r="B28" s="53" t="n"/>
      <c r="C28" s="26" t="n"/>
      <c r="D28" s="26" t="n"/>
      <c r="E28" s="52" t="n"/>
      <c r="F28" s="52" t="n"/>
      <c r="G28" s="52" t="n"/>
      <c r="H28" s="52" t="n"/>
      <c r="I28" s="52" t="n"/>
      <c r="J28" s="26" t="n"/>
      <c r="K28" s="26" t="n"/>
      <c r="L28" s="59" t="str">
        <f>IF(tblActions[[#This Row],[Date]]="","","Q"&amp;(INT(MOD(MONTH(tblActions[[#This Row],[Date]])-StartMonth,12)/3)+1))</f>
        <v/>
      </c>
      <c r="M28"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28" s="54" t="str">
        <f>IF(tblActions[[#This Row],[Timing Flag]]="Overdue",AsOf-tblActions[[#This Row],[Date]],"")</f>
        <v/>
      </c>
    </row>
    <row r="29">
      <c r="A29" s="52" t="n"/>
      <c r="B29" s="53" t="n"/>
      <c r="C29" s="26" t="n"/>
      <c r="D29" s="26" t="n"/>
      <c r="E29" s="52" t="n"/>
      <c r="F29" s="52" t="n"/>
      <c r="G29" s="52" t="n"/>
      <c r="H29" s="52" t="n"/>
      <c r="I29" s="52" t="n"/>
      <c r="J29" s="26" t="n"/>
      <c r="K29" s="26" t="n"/>
      <c r="L29" s="59" t="str">
        <f>IF(tblActions[[#This Row],[Date]]="","","Q"&amp;(INT(MOD(MONTH(tblActions[[#This Row],[Date]])-StartMonth,12)/3)+1))</f>
        <v/>
      </c>
      <c r="M29"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29" s="54" t="str">
        <f>IF(tblActions[[#This Row],[Timing Flag]]="Overdue",AsOf-tblActions[[#This Row],[Date]],"")</f>
        <v/>
      </c>
    </row>
    <row r="30">
      <c r="A30" s="52" t="n"/>
      <c r="B30" s="53" t="n"/>
      <c r="C30" s="26" t="n"/>
      <c r="D30" s="26" t="n"/>
      <c r="E30" s="52" t="n"/>
      <c r="F30" s="52" t="n"/>
      <c r="G30" s="52" t="n"/>
      <c r="H30" s="52" t="n"/>
      <c r="I30" s="52" t="n"/>
      <c r="J30" s="26" t="n"/>
      <c r="K30" s="26" t="n"/>
      <c r="L30" s="59" t="str">
        <f>IF(tblActions[[#This Row],[Date]]="","","Q"&amp;(INT(MOD(MONTH(tblActions[[#This Row],[Date]])-StartMonth,12)/3)+1))</f>
        <v/>
      </c>
      <c r="M30"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30" s="54" t="str">
        <f>IF(tblActions[[#This Row],[Timing Flag]]="Overdue",AsOf-tblActions[[#This Row],[Date]],"")</f>
        <v/>
      </c>
    </row>
    <row r="31">
      <c r="A31" s="52" t="n"/>
      <c r="B31" s="53" t="n"/>
      <c r="C31" s="26" t="n"/>
      <c r="D31" s="26" t="n"/>
      <c r="E31" s="52" t="n"/>
      <c r="F31" s="52" t="n"/>
      <c r="G31" s="52" t="n"/>
      <c r="H31" s="52" t="n"/>
      <c r="I31" s="52" t="n"/>
      <c r="J31" s="26" t="n"/>
      <c r="K31" s="26" t="n"/>
      <c r="L31" s="59" t="str">
        <f>IF(tblActions[[#This Row],[Date]]="","","Q"&amp;(INT(MOD(MONTH(tblActions[[#This Row],[Date]])-StartMonth,12)/3)+1))</f>
        <v/>
      </c>
      <c r="M31"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31" s="54" t="str">
        <f>IF(tblActions[[#This Row],[Timing Flag]]="Overdue",AsOf-tblActions[[#This Row],[Date]],"")</f>
        <v/>
      </c>
    </row>
    <row r="32">
      <c r="A32" s="52" t="n"/>
      <c r="B32" s="53" t="n"/>
      <c r="C32" s="26" t="n"/>
      <c r="D32" s="26" t="n"/>
      <c r="E32" s="52" t="n"/>
      <c r="F32" s="52" t="n"/>
      <c r="G32" s="52" t="n"/>
      <c r="H32" s="52" t="n"/>
      <c r="I32" s="52" t="n"/>
      <c r="J32" s="26" t="n"/>
      <c r="K32" s="26" t="n"/>
      <c r="L32" s="59" t="str">
        <f>IF(tblActions[[#This Row],[Date]]="","","Q"&amp;(INT(MOD(MONTH(tblActions[[#This Row],[Date]])-StartMonth,12)/3)+1))</f>
        <v/>
      </c>
      <c r="M32"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32" s="54" t="str">
        <f>IF(tblActions[[#This Row],[Timing Flag]]="Overdue",AsOf-tblActions[[#This Row],[Date]],"")</f>
        <v/>
      </c>
    </row>
    <row r="33">
      <c r="A33" s="52" t="n"/>
      <c r="B33" s="53" t="n"/>
      <c r="C33" s="26" t="n"/>
      <c r="D33" s="26" t="n"/>
      <c r="E33" s="52" t="n"/>
      <c r="F33" s="52" t="n"/>
      <c r="G33" s="52" t="n"/>
      <c r="H33" s="52" t="n"/>
      <c r="I33" s="52" t="n"/>
      <c r="J33" s="26" t="n"/>
      <c r="K33" s="26" t="n"/>
      <c r="L33" s="59" t="str">
        <f>IF(tblActions[[#This Row],[Date]]="","","Q"&amp;(INT(MOD(MONTH(tblActions[[#This Row],[Date]])-StartMonth,12)/3)+1))</f>
        <v/>
      </c>
      <c r="M33"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33" s="54" t="str">
        <f>IF(tblActions[[#This Row],[Timing Flag]]="Overdue",AsOf-tblActions[[#This Row],[Date]],"")</f>
        <v/>
      </c>
    </row>
    <row r="34">
      <c r="A34" s="52" t="n"/>
      <c r="B34" s="53" t="n"/>
      <c r="C34" s="26" t="n"/>
      <c r="D34" s="26" t="n"/>
      <c r="E34" s="52" t="n"/>
      <c r="F34" s="52" t="n"/>
      <c r="G34" s="52" t="n"/>
      <c r="H34" s="52" t="n"/>
      <c r="I34" s="52" t="n"/>
      <c r="J34" s="26" t="n"/>
      <c r="K34" s="26" t="n"/>
      <c r="L34" s="59" t="str">
        <f>IF(tblActions[[#This Row],[Date]]="","","Q"&amp;(INT(MOD(MONTH(tblActions[[#This Row],[Date]])-StartMonth,12)/3)+1))</f>
        <v/>
      </c>
      <c r="M34"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34" s="54" t="str">
        <f>IF(tblActions[[#This Row],[Timing Flag]]="Overdue",AsOf-tblActions[[#This Row],[Date]],"")</f>
        <v/>
      </c>
    </row>
    <row r="35">
      <c r="A35" s="52" t="n"/>
      <c r="B35" s="53" t="n"/>
      <c r="C35" s="26" t="n"/>
      <c r="D35" s="26" t="n"/>
      <c r="E35" s="52" t="n"/>
      <c r="F35" s="52" t="n"/>
      <c r="G35" s="52" t="n"/>
      <c r="H35" s="52" t="n"/>
      <c r="I35" s="52" t="n"/>
      <c r="J35" s="26" t="n"/>
      <c r="K35" s="26" t="n"/>
      <c r="L35" s="59" t="str">
        <f>IF(tblActions[[#This Row],[Date]]="","","Q"&amp;(INT(MOD(MONTH(tblActions[[#This Row],[Date]])-StartMonth,12)/3)+1))</f>
        <v/>
      </c>
      <c r="M35"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35" s="54" t="str">
        <f>IF(tblActions[[#This Row],[Timing Flag]]="Overdue",AsOf-tblActions[[#This Row],[Date]],"")</f>
        <v/>
      </c>
    </row>
    <row r="36">
      <c r="A36" s="52" t="n"/>
      <c r="B36" s="53" t="n"/>
      <c r="C36" s="26" t="n"/>
      <c r="D36" s="26" t="n"/>
      <c r="E36" s="52" t="n"/>
      <c r="F36" s="52" t="n"/>
      <c r="G36" s="52" t="n"/>
      <c r="H36" s="52" t="n"/>
      <c r="I36" s="52" t="n"/>
      <c r="J36" s="26" t="n"/>
      <c r="K36" s="26" t="n"/>
      <c r="L36" s="59" t="str">
        <f>IF(tblActions[[#This Row],[Date]]="","","Q"&amp;(INT(MOD(MONTH(tblActions[[#This Row],[Date]])-StartMonth,12)/3)+1))</f>
        <v/>
      </c>
      <c r="M36"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36" s="54" t="str">
        <f>IF(tblActions[[#This Row],[Timing Flag]]="Overdue",AsOf-tblActions[[#This Row],[Date]],"")</f>
        <v/>
      </c>
    </row>
    <row r="37">
      <c r="A37" s="52" t="n"/>
      <c r="B37" s="53" t="n"/>
      <c r="C37" s="26" t="n"/>
      <c r="D37" s="26" t="n"/>
      <c r="E37" s="52" t="n"/>
      <c r="F37" s="52" t="n"/>
      <c r="G37" s="52" t="n"/>
      <c r="H37" s="52" t="n"/>
      <c r="I37" s="52" t="n"/>
      <c r="J37" s="26" t="n"/>
      <c r="K37" s="26" t="n"/>
      <c r="L37" s="59" t="str">
        <f>IF(tblActions[[#This Row],[Date]]="","","Q"&amp;(INT(MOD(MONTH(tblActions[[#This Row],[Date]])-StartMonth,12)/3)+1))</f>
        <v/>
      </c>
      <c r="M37"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37" s="54" t="str">
        <f>IF(tblActions[[#This Row],[Timing Flag]]="Overdue",AsOf-tblActions[[#This Row],[Date]],"")</f>
        <v/>
      </c>
    </row>
    <row r="38">
      <c r="A38" s="52" t="n"/>
      <c r="B38" s="53" t="n"/>
      <c r="C38" s="26" t="n"/>
      <c r="D38" s="26" t="n"/>
      <c r="E38" s="52" t="n"/>
      <c r="F38" s="52" t="n"/>
      <c r="G38" s="52" t="n"/>
      <c r="H38" s="52" t="n"/>
      <c r="I38" s="52" t="n"/>
      <c r="J38" s="26" t="n"/>
      <c r="K38" s="26" t="n"/>
      <c r="L38" s="59" t="str">
        <f>IF(tblActions[[#This Row],[Date]]="","","Q"&amp;(INT(MOD(MONTH(tblActions[[#This Row],[Date]])-StartMonth,12)/3)+1))</f>
        <v/>
      </c>
      <c r="M38"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38" s="54" t="str">
        <f>IF(tblActions[[#This Row],[Timing Flag]]="Overdue",AsOf-tblActions[[#This Row],[Date]],"")</f>
        <v/>
      </c>
    </row>
    <row r="39">
      <c r="A39" s="52" t="n"/>
      <c r="B39" s="53" t="n"/>
      <c r="C39" s="26" t="n"/>
      <c r="D39" s="26" t="n"/>
      <c r="E39" s="52" t="n"/>
      <c r="F39" s="52" t="n"/>
      <c r="G39" s="52" t="n"/>
      <c r="H39" s="52" t="n"/>
      <c r="I39" s="52" t="n"/>
      <c r="J39" s="26" t="n"/>
      <c r="K39" s="26" t="n"/>
      <c r="L39" s="59" t="str">
        <f>IF(tblActions[[#This Row],[Date]]="","","Q"&amp;(INT(MOD(MONTH(tblActions[[#This Row],[Date]])-StartMonth,12)/3)+1))</f>
        <v/>
      </c>
      <c r="M39"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39" s="54" t="str">
        <f>IF(tblActions[[#This Row],[Timing Flag]]="Overdue",AsOf-tblActions[[#This Row],[Date]],"")</f>
        <v/>
      </c>
    </row>
    <row r="40">
      <c r="A40" s="52" t="n"/>
      <c r="B40" s="53" t="n"/>
      <c r="C40" s="26" t="n"/>
      <c r="D40" s="26" t="n"/>
      <c r="E40" s="52" t="n"/>
      <c r="F40" s="52" t="n"/>
      <c r="G40" s="52" t="n"/>
      <c r="H40" s="52" t="n"/>
      <c r="I40" s="52" t="n"/>
      <c r="J40" s="26" t="n"/>
      <c r="K40" s="26" t="n"/>
      <c r="L40" s="59" t="str">
        <f>IF(tblActions[[#This Row],[Date]]="","","Q"&amp;(INT(MOD(MONTH(tblActions[[#This Row],[Date]])-StartMonth,12)/3)+1))</f>
        <v/>
      </c>
      <c r="M40"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40" s="54" t="str">
        <f>IF(tblActions[[#This Row],[Timing Flag]]="Overdue",AsOf-tblActions[[#This Row],[Date]],"")</f>
        <v/>
      </c>
    </row>
    <row r="41">
      <c r="A41" s="52" t="n"/>
      <c r="B41" s="53" t="n"/>
      <c r="C41" s="26" t="n"/>
      <c r="D41" s="26" t="n"/>
      <c r="E41" s="52" t="n"/>
      <c r="F41" s="52" t="n"/>
      <c r="G41" s="52" t="n"/>
      <c r="H41" s="52" t="n"/>
      <c r="I41" s="52" t="n"/>
      <c r="J41" s="26" t="n"/>
      <c r="K41" s="26" t="n"/>
      <c r="L41" s="59" t="str">
        <f>IF(tblActions[[#This Row],[Date]]="","","Q"&amp;(INT(MOD(MONTH(tblActions[[#This Row],[Date]])-StartMonth,12)/3)+1))</f>
        <v/>
      </c>
      <c r="M41"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41" s="54" t="str">
        <f>IF(tblActions[[#This Row],[Timing Flag]]="Overdue",AsOf-tblActions[[#This Row],[Date]],"")</f>
        <v/>
      </c>
    </row>
    <row r="42">
      <c r="A42" s="52" t="n"/>
      <c r="B42" s="53" t="n"/>
      <c r="C42" s="26" t="n"/>
      <c r="D42" s="26" t="n"/>
      <c r="E42" s="52" t="n"/>
      <c r="F42" s="52" t="n"/>
      <c r="G42" s="52" t="n"/>
      <c r="H42" s="52" t="n"/>
      <c r="I42" s="52" t="n"/>
      <c r="J42" s="26" t="n"/>
      <c r="K42" s="26" t="n"/>
      <c r="L42" s="59" t="str">
        <f>IF(tblActions[[#This Row],[Date]]="","","Q"&amp;(INT(MOD(MONTH(tblActions[[#This Row],[Date]])-StartMonth,12)/3)+1))</f>
        <v/>
      </c>
      <c r="M42"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42" s="54" t="str">
        <f>IF(tblActions[[#This Row],[Timing Flag]]="Overdue",AsOf-tblActions[[#This Row],[Date]],"")</f>
        <v/>
      </c>
    </row>
    <row r="43">
      <c r="A43" s="52" t="n"/>
      <c r="B43" s="53" t="n"/>
      <c r="C43" s="26" t="n"/>
      <c r="D43" s="26" t="n"/>
      <c r="E43" s="52" t="n"/>
      <c r="F43" s="52" t="n"/>
      <c r="G43" s="52" t="n"/>
      <c r="H43" s="52" t="n"/>
      <c r="I43" s="52" t="n"/>
      <c r="J43" s="26" t="n"/>
      <c r="K43" s="26" t="n"/>
      <c r="L43" s="59" t="str">
        <f>IF(tblActions[[#This Row],[Date]]="","","Q"&amp;(INT(MOD(MONTH(tblActions[[#This Row],[Date]])-StartMonth,12)/3)+1))</f>
        <v/>
      </c>
      <c r="M43"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43" s="54" t="str">
        <f>IF(tblActions[[#This Row],[Timing Flag]]="Overdue",AsOf-tblActions[[#This Row],[Date]],"")</f>
        <v/>
      </c>
    </row>
    <row r="44">
      <c r="A44" s="52" t="n"/>
      <c r="B44" s="53" t="n"/>
      <c r="C44" s="26" t="n"/>
      <c r="D44" s="26" t="n"/>
      <c r="E44" s="52" t="n"/>
      <c r="F44" s="52" t="n"/>
      <c r="G44" s="52" t="n"/>
      <c r="H44" s="52" t="n"/>
      <c r="I44" s="52" t="n"/>
      <c r="J44" s="26" t="n"/>
      <c r="K44" s="26" t="n"/>
      <c r="L44" s="59" t="str">
        <f>IF(tblActions[[#This Row],[Date]]="","","Q"&amp;(INT(MOD(MONTH(tblActions[[#This Row],[Date]])-StartMonth,12)/3)+1))</f>
        <v/>
      </c>
      <c r="M44"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44" s="54" t="str">
        <f>IF(tblActions[[#This Row],[Timing Flag]]="Overdue",AsOf-tblActions[[#This Row],[Date]],"")</f>
        <v/>
      </c>
    </row>
    <row r="45">
      <c r="A45" s="52" t="n"/>
      <c r="B45" s="53" t="n"/>
      <c r="C45" s="26" t="n"/>
      <c r="D45" s="26" t="n"/>
      <c r="E45" s="52" t="n"/>
      <c r="F45" s="52" t="n"/>
      <c r="G45" s="52" t="n"/>
      <c r="H45" s="52" t="n"/>
      <c r="I45" s="52" t="n"/>
      <c r="J45" s="26" t="n"/>
      <c r="K45" s="26" t="n"/>
      <c r="L45" s="59" t="str">
        <f>IF(tblActions[[#This Row],[Date]]="","","Q"&amp;(INT(MOD(MONTH(tblActions[[#This Row],[Date]])-StartMonth,12)/3)+1))</f>
        <v/>
      </c>
      <c r="M45"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45" s="54" t="str">
        <f>IF(tblActions[[#This Row],[Timing Flag]]="Overdue",AsOf-tblActions[[#This Row],[Date]],"")</f>
        <v/>
      </c>
    </row>
    <row r="46">
      <c r="A46" s="52" t="n"/>
      <c r="B46" s="53" t="n"/>
      <c r="C46" s="26" t="n"/>
      <c r="D46" s="26" t="n"/>
      <c r="E46" s="52" t="n"/>
      <c r="F46" s="52" t="n"/>
      <c r="G46" s="52" t="n"/>
      <c r="H46" s="52" t="n"/>
      <c r="I46" s="52" t="n"/>
      <c r="J46" s="26" t="n"/>
      <c r="K46" s="26" t="n"/>
      <c r="L46" s="59" t="str">
        <f>IF(tblActions[[#This Row],[Date]]="","","Q"&amp;(INT(MOD(MONTH(tblActions[[#This Row],[Date]])-StartMonth,12)/3)+1))</f>
        <v/>
      </c>
      <c r="M46"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46" s="54" t="str">
        <f>IF(tblActions[[#This Row],[Timing Flag]]="Overdue",AsOf-tblActions[[#This Row],[Date]],"")</f>
        <v/>
      </c>
    </row>
    <row r="47">
      <c r="A47" s="52" t="n"/>
      <c r="B47" s="53" t="n"/>
      <c r="C47" s="26" t="n"/>
      <c r="D47" s="26" t="n"/>
      <c r="E47" s="52" t="n"/>
      <c r="F47" s="52" t="n"/>
      <c r="G47" s="52" t="n"/>
      <c r="H47" s="52" t="n"/>
      <c r="I47" s="52" t="n"/>
      <c r="J47" s="26" t="n"/>
      <c r="K47" s="26" t="n"/>
      <c r="L47" s="59" t="str">
        <f>IF(tblActions[[#This Row],[Date]]="","","Q"&amp;(INT(MOD(MONTH(tblActions[[#This Row],[Date]])-StartMonth,12)/3)+1))</f>
        <v/>
      </c>
      <c r="M47"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47" s="54" t="str">
        <f>IF(tblActions[[#This Row],[Timing Flag]]="Overdue",AsOf-tblActions[[#This Row],[Date]],"")</f>
        <v/>
      </c>
    </row>
    <row r="48">
      <c r="A48" s="52" t="n"/>
      <c r="B48" s="53" t="n"/>
      <c r="C48" s="26" t="n"/>
      <c r="D48" s="26" t="n"/>
      <c r="E48" s="52" t="n"/>
      <c r="F48" s="52" t="n"/>
      <c r="G48" s="52" t="n"/>
      <c r="H48" s="52" t="n"/>
      <c r="I48" s="52" t="n"/>
      <c r="J48" s="26" t="n"/>
      <c r="K48" s="26" t="n"/>
      <c r="L48" s="59" t="str">
        <f>IF(tblActions[[#This Row],[Date]]="","","Q"&amp;(INT(MOD(MONTH(tblActions[[#This Row],[Date]])-StartMonth,12)/3)+1))</f>
        <v/>
      </c>
      <c r="M48"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48" s="54" t="str">
        <f>IF(tblActions[[#This Row],[Timing Flag]]="Overdue",AsOf-tblActions[[#This Row],[Date]],"")</f>
        <v/>
      </c>
    </row>
    <row r="49">
      <c r="A49" s="52" t="n"/>
      <c r="B49" s="53" t="n"/>
      <c r="C49" s="26" t="n"/>
      <c r="D49" s="26" t="n"/>
      <c r="E49" s="52" t="n"/>
      <c r="F49" s="52" t="n"/>
      <c r="G49" s="52" t="n"/>
      <c r="H49" s="52" t="n"/>
      <c r="I49" s="52" t="n"/>
      <c r="J49" s="26" t="n"/>
      <c r="K49" s="26" t="n"/>
      <c r="L49" s="59" t="str">
        <f>IF(tblActions[[#This Row],[Date]]="","","Q"&amp;(INT(MOD(MONTH(tblActions[[#This Row],[Date]])-StartMonth,12)/3)+1))</f>
        <v/>
      </c>
      <c r="M49"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49" s="54" t="str">
        <f>IF(tblActions[[#This Row],[Timing Flag]]="Overdue",AsOf-tblActions[[#This Row],[Date]],"")</f>
        <v/>
      </c>
    </row>
    <row r="50">
      <c r="A50" s="52" t="n"/>
      <c r="B50" s="53" t="n"/>
      <c r="C50" s="26" t="n"/>
      <c r="D50" s="26" t="n"/>
      <c r="E50" s="52" t="n"/>
      <c r="F50" s="52" t="n"/>
      <c r="G50" s="52" t="n"/>
      <c r="H50" s="52" t="n"/>
      <c r="I50" s="52" t="n"/>
      <c r="J50" s="26" t="n"/>
      <c r="K50" s="26" t="n"/>
      <c r="L50" s="59" t="str">
        <f>IF(tblActions[[#This Row],[Date]]="","","Q"&amp;(INT(MOD(MONTH(tblActions[[#This Row],[Date]])-StartMonth,12)/3)+1))</f>
        <v/>
      </c>
      <c r="M50"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50" s="54" t="str">
        <f>IF(tblActions[[#This Row],[Timing Flag]]="Overdue",AsOf-tblActions[[#This Row],[Date]],"")</f>
        <v/>
      </c>
    </row>
    <row r="51">
      <c r="A51" s="52" t="n"/>
      <c r="B51" s="53" t="n"/>
      <c r="C51" s="26" t="n"/>
      <c r="D51" s="26" t="n"/>
      <c r="E51" s="52" t="n"/>
      <c r="F51" s="52" t="n"/>
      <c r="G51" s="52" t="n"/>
      <c r="H51" s="52" t="n"/>
      <c r="I51" s="52" t="n"/>
      <c r="J51" s="26" t="n"/>
      <c r="K51" s="26" t="n"/>
      <c r="L51" s="59" t="str">
        <f>IF(tblActions[[#This Row],[Date]]="","","Q"&amp;(INT(MOD(MONTH(tblActions[[#This Row],[Date]])-StartMonth,12)/3)+1))</f>
        <v/>
      </c>
      <c r="M51"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51" s="54" t="str">
        <f>IF(tblActions[[#This Row],[Timing Flag]]="Overdue",AsOf-tblActions[[#This Row],[Date]],"")</f>
        <v/>
      </c>
    </row>
    <row r="52">
      <c r="A52" s="52" t="n"/>
      <c r="B52" s="53" t="n"/>
      <c r="C52" s="26" t="n"/>
      <c r="D52" s="26" t="n"/>
      <c r="E52" s="52" t="n"/>
      <c r="F52" s="52" t="n"/>
      <c r="G52" s="52" t="n"/>
      <c r="H52" s="52" t="n"/>
      <c r="I52" s="52" t="n"/>
      <c r="J52" s="26" t="n"/>
      <c r="K52" s="26" t="n"/>
      <c r="L52" s="59" t="str">
        <f>IF(tblActions[[#This Row],[Date]]="","","Q"&amp;(INT(MOD(MONTH(tblActions[[#This Row],[Date]])-StartMonth,12)/3)+1))</f>
        <v/>
      </c>
      <c r="M52"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52" s="54" t="str">
        <f>IF(tblActions[[#This Row],[Timing Flag]]="Overdue",AsOf-tblActions[[#This Row],[Date]],"")</f>
        <v/>
      </c>
    </row>
    <row r="53">
      <c r="A53" s="52" t="n"/>
      <c r="B53" s="53" t="n"/>
      <c r="C53" s="26" t="n"/>
      <c r="D53" s="26" t="n"/>
      <c r="E53" s="52" t="n"/>
      <c r="F53" s="52" t="n"/>
      <c r="G53" s="52" t="n"/>
      <c r="H53" s="52" t="n"/>
      <c r="I53" s="52" t="n"/>
      <c r="J53" s="26" t="n"/>
      <c r="K53" s="26" t="n"/>
      <c r="L53" s="59" t="str">
        <f>IF(tblActions[[#This Row],[Date]]="","","Q"&amp;(INT(MOD(MONTH(tblActions[[#This Row],[Date]])-StartMonth,12)/3)+1))</f>
        <v/>
      </c>
      <c r="M53"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53" s="54" t="str">
        <f>IF(tblActions[[#This Row],[Timing Flag]]="Overdue",AsOf-tblActions[[#This Row],[Date]],"")</f>
        <v/>
      </c>
    </row>
    <row r="54">
      <c r="A54" s="52" t="n"/>
      <c r="B54" s="53" t="n"/>
      <c r="C54" s="26" t="n"/>
      <c r="D54" s="26" t="n"/>
      <c r="E54" s="52" t="n"/>
      <c r="F54" s="52" t="n"/>
      <c r="G54" s="52" t="n"/>
      <c r="H54" s="52" t="n"/>
      <c r="I54" s="52" t="n"/>
      <c r="J54" s="26" t="n"/>
      <c r="K54" s="26" t="n"/>
      <c r="L54" s="59" t="str">
        <f>IF(tblActions[[#This Row],[Date]]="","","Q"&amp;(INT(MOD(MONTH(tblActions[[#This Row],[Date]])-StartMonth,12)/3)+1))</f>
        <v/>
      </c>
      <c r="M54"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54" s="54" t="str">
        <f>IF(tblActions[[#This Row],[Timing Flag]]="Overdue",AsOf-tblActions[[#This Row],[Date]],"")</f>
        <v/>
      </c>
    </row>
    <row r="55">
      <c r="A55" s="52" t="n"/>
      <c r="B55" s="53" t="n"/>
      <c r="C55" s="26" t="n"/>
      <c r="D55" s="26" t="n"/>
      <c r="E55" s="52" t="n"/>
      <c r="F55" s="52" t="n"/>
      <c r="G55" s="52" t="n"/>
      <c r="H55" s="52" t="n"/>
      <c r="I55" s="52" t="n"/>
      <c r="J55" s="26" t="n"/>
      <c r="K55" s="26" t="n"/>
      <c r="L55" s="59" t="str">
        <f>IF(tblActions[[#This Row],[Date]]="","","Q"&amp;(INT(MOD(MONTH(tblActions[[#This Row],[Date]])-StartMonth,12)/3)+1))</f>
        <v/>
      </c>
      <c r="M55"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55" s="54" t="str">
        <f>IF(tblActions[[#This Row],[Timing Flag]]="Overdue",AsOf-tblActions[[#This Row],[Date]],"")</f>
        <v/>
      </c>
    </row>
    <row r="56">
      <c r="A56" s="52" t="n"/>
      <c r="B56" s="53" t="n"/>
      <c r="C56" s="26" t="n"/>
      <c r="D56" s="26" t="n"/>
      <c r="E56" s="52" t="n"/>
      <c r="F56" s="52" t="n"/>
      <c r="G56" s="52" t="n"/>
      <c r="H56" s="52" t="n"/>
      <c r="I56" s="52" t="n"/>
      <c r="J56" s="26" t="n"/>
      <c r="K56" s="26" t="n"/>
      <c r="L56" s="59" t="str">
        <f>IF(tblActions[[#This Row],[Date]]="","","Q"&amp;(INT(MOD(MONTH(tblActions[[#This Row],[Date]])-StartMonth,12)/3)+1))</f>
        <v/>
      </c>
      <c r="M56"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56" s="54" t="str">
        <f>IF(tblActions[[#This Row],[Timing Flag]]="Overdue",AsOf-tblActions[[#This Row],[Date]],"")</f>
        <v/>
      </c>
    </row>
    <row r="57">
      <c r="A57" s="52" t="n"/>
      <c r="B57" s="53" t="n"/>
      <c r="C57" s="26" t="n"/>
      <c r="D57" s="26" t="n"/>
      <c r="E57" s="52" t="n"/>
      <c r="F57" s="52" t="n"/>
      <c r="G57" s="52" t="n"/>
      <c r="H57" s="52" t="n"/>
      <c r="I57" s="52" t="n"/>
      <c r="J57" s="26" t="n"/>
      <c r="K57" s="26" t="n"/>
      <c r="L57" s="59" t="str">
        <f>IF(tblActions[[#This Row],[Date]]="","","Q"&amp;(INT(MOD(MONTH(tblActions[[#This Row],[Date]])-StartMonth,12)/3)+1))</f>
        <v/>
      </c>
      <c r="M57"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57" s="54" t="str">
        <f>IF(tblActions[[#This Row],[Timing Flag]]="Overdue",AsOf-tblActions[[#This Row],[Date]],"")</f>
        <v/>
      </c>
    </row>
    <row r="58">
      <c r="A58" s="52" t="n"/>
      <c r="B58" s="53" t="n"/>
      <c r="C58" s="26" t="n"/>
      <c r="D58" s="26" t="n"/>
      <c r="E58" s="52" t="n"/>
      <c r="F58" s="52" t="n"/>
      <c r="G58" s="52" t="n"/>
      <c r="H58" s="52" t="n"/>
      <c r="I58" s="52" t="n"/>
      <c r="J58" s="26" t="n"/>
      <c r="K58" s="26" t="n"/>
      <c r="L58" s="59" t="str">
        <f>IF(tblActions[[#This Row],[Date]]="","","Q"&amp;(INT(MOD(MONTH(tblActions[[#This Row],[Date]])-StartMonth,12)/3)+1))</f>
        <v/>
      </c>
      <c r="M58"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58" s="54" t="str">
        <f>IF(tblActions[[#This Row],[Timing Flag]]="Overdue",AsOf-tblActions[[#This Row],[Date]],"")</f>
        <v/>
      </c>
    </row>
    <row r="59">
      <c r="A59" s="52" t="n"/>
      <c r="B59" s="53" t="n"/>
      <c r="C59" s="26" t="n"/>
      <c r="D59" s="26" t="n"/>
      <c r="E59" s="52" t="n"/>
      <c r="F59" s="52" t="n"/>
      <c r="G59" s="52" t="n"/>
      <c r="H59" s="52" t="n"/>
      <c r="I59" s="52" t="n"/>
      <c r="J59" s="26" t="n"/>
      <c r="K59" s="26" t="n"/>
      <c r="L59" s="59" t="str">
        <f>IF(tblActions[[#This Row],[Date]]="","","Q"&amp;(INT(MOD(MONTH(tblActions[[#This Row],[Date]])-StartMonth,12)/3)+1))</f>
        <v/>
      </c>
      <c r="M59"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59" s="54" t="str">
        <f>IF(tblActions[[#This Row],[Timing Flag]]="Overdue",AsOf-tblActions[[#This Row],[Date]],"")</f>
        <v/>
      </c>
    </row>
    <row r="60">
      <c r="A60" s="52" t="n"/>
      <c r="B60" s="53" t="n"/>
      <c r="C60" s="26" t="n"/>
      <c r="D60" s="26" t="n"/>
      <c r="E60" s="52" t="n"/>
      <c r="F60" s="52" t="n"/>
      <c r="G60" s="52" t="n"/>
      <c r="H60" s="52" t="n"/>
      <c r="I60" s="52" t="n"/>
      <c r="J60" s="26" t="n"/>
      <c r="K60" s="26" t="n"/>
      <c r="L60" s="59" t="str">
        <f>IF(tblActions[[#This Row],[Date]]="","","Q"&amp;(INT(MOD(MONTH(tblActions[[#This Row],[Date]])-StartMonth,12)/3)+1))</f>
        <v/>
      </c>
      <c r="M60"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60" s="54" t="str">
        <f>IF(tblActions[[#This Row],[Timing Flag]]="Overdue",AsOf-tblActions[[#This Row],[Date]],"")</f>
        <v/>
      </c>
    </row>
    <row r="61">
      <c r="A61" s="52" t="n"/>
      <c r="B61" s="53" t="n"/>
      <c r="C61" s="26" t="n"/>
      <c r="D61" s="26" t="n"/>
      <c r="E61" s="52" t="n"/>
      <c r="F61" s="52" t="n"/>
      <c r="G61" s="52" t="n"/>
      <c r="H61" s="52" t="n"/>
      <c r="I61" s="52" t="n"/>
      <c r="J61" s="26" t="n"/>
      <c r="K61" s="26" t="n"/>
      <c r="L61" s="59" t="str">
        <f>IF(tblActions[[#This Row],[Date]]="","","Q"&amp;(INT(MOD(MONTH(tblActions[[#This Row],[Date]])-StartMonth,12)/3)+1))</f>
        <v/>
      </c>
      <c r="M61"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61" s="54" t="str">
        <f>IF(tblActions[[#This Row],[Timing Flag]]="Overdue",AsOf-tblActions[[#This Row],[Date]],"")</f>
        <v/>
      </c>
    </row>
    <row r="62">
      <c r="A62" s="52" t="n"/>
      <c r="B62" s="53" t="n"/>
      <c r="C62" s="26" t="n"/>
      <c r="D62" s="26" t="n"/>
      <c r="E62" s="52" t="n"/>
      <c r="F62" s="52" t="n"/>
      <c r="G62" s="52" t="n"/>
      <c r="H62" s="52" t="n"/>
      <c r="I62" s="52" t="n"/>
      <c r="J62" s="26" t="n"/>
      <c r="K62" s="26" t="n"/>
      <c r="L62" s="59" t="str">
        <f>IF(tblActions[[#This Row],[Date]]="","","Q"&amp;(INT(MOD(MONTH(tblActions[[#This Row],[Date]])-StartMonth,12)/3)+1))</f>
        <v/>
      </c>
      <c r="M62"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62" s="54" t="str">
        <f>IF(tblActions[[#This Row],[Timing Flag]]="Overdue",AsOf-tblActions[[#This Row],[Date]],"")</f>
        <v/>
      </c>
    </row>
    <row r="63">
      <c r="A63" s="52" t="n"/>
      <c r="B63" s="53" t="n"/>
      <c r="C63" s="26" t="n"/>
      <c r="D63" s="26" t="n"/>
      <c r="E63" s="52" t="n"/>
      <c r="F63" s="52" t="n"/>
      <c r="G63" s="52" t="n"/>
      <c r="H63" s="52" t="n"/>
      <c r="I63" s="52" t="n"/>
      <c r="J63" s="26" t="n"/>
      <c r="K63" s="26" t="n"/>
      <c r="L63" s="59" t="str">
        <f>IF(tblActions[[#This Row],[Date]]="","","Q"&amp;(INT(MOD(MONTH(tblActions[[#This Row],[Date]])-StartMonth,12)/3)+1))</f>
        <v/>
      </c>
      <c r="M63"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63" s="54" t="str">
        <f>IF(tblActions[[#This Row],[Timing Flag]]="Overdue",AsOf-tblActions[[#This Row],[Date]],"")</f>
        <v/>
      </c>
    </row>
    <row r="64">
      <c r="A64" s="52" t="n"/>
      <c r="B64" s="53" t="n"/>
      <c r="C64" s="26" t="n"/>
      <c r="D64" s="26" t="n"/>
      <c r="E64" s="52" t="n"/>
      <c r="F64" s="52" t="n"/>
      <c r="G64" s="52" t="n"/>
      <c r="H64" s="52" t="n"/>
      <c r="I64" s="52" t="n"/>
      <c r="J64" s="26" t="n"/>
      <c r="K64" s="26" t="n"/>
      <c r="L64" s="59" t="str">
        <f>IF(tblActions[[#This Row],[Date]]="","","Q"&amp;(INT(MOD(MONTH(tblActions[[#This Row],[Date]])-StartMonth,12)/3)+1))</f>
        <v/>
      </c>
      <c r="M64"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64" s="54" t="str">
        <f>IF(tblActions[[#This Row],[Timing Flag]]="Overdue",AsOf-tblActions[[#This Row],[Date]],"")</f>
        <v/>
      </c>
    </row>
    <row r="65">
      <c r="A65" s="52" t="n"/>
      <c r="B65" s="53" t="n"/>
      <c r="C65" s="26" t="n"/>
      <c r="D65" s="26" t="n"/>
      <c r="E65" s="52" t="n"/>
      <c r="F65" s="52" t="n"/>
      <c r="G65" s="52" t="n"/>
      <c r="H65" s="52" t="n"/>
      <c r="I65" s="52" t="n"/>
      <c r="J65" s="26" t="n"/>
      <c r="K65" s="26" t="n"/>
      <c r="L65" s="59" t="str">
        <f>IF(tblActions[[#This Row],[Date]]="","","Q"&amp;(INT(MOD(MONTH(tblActions[[#This Row],[Date]])-StartMonth,12)/3)+1))</f>
        <v/>
      </c>
      <c r="M65"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65" s="54" t="str">
        <f>IF(tblActions[[#This Row],[Timing Flag]]="Overdue",AsOf-tblActions[[#This Row],[Date]],"")</f>
        <v/>
      </c>
    </row>
    <row r="66">
      <c r="A66" s="52" t="n"/>
      <c r="B66" s="53" t="n"/>
      <c r="C66" s="26" t="n"/>
      <c r="D66" s="26" t="n"/>
      <c r="E66" s="52" t="n"/>
      <c r="F66" s="52" t="n"/>
      <c r="G66" s="52" t="n"/>
      <c r="H66" s="52" t="n"/>
      <c r="I66" s="52" t="n"/>
      <c r="J66" s="26" t="n"/>
      <c r="K66" s="26" t="n"/>
      <c r="L66" s="59" t="str">
        <f>IF(tblActions[[#This Row],[Date]]="","","Q"&amp;(INT(MOD(MONTH(tblActions[[#This Row],[Date]])-StartMonth,12)/3)+1))</f>
        <v/>
      </c>
      <c r="M66"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66" s="54" t="str">
        <f>IF(tblActions[[#This Row],[Timing Flag]]="Overdue",AsOf-tblActions[[#This Row],[Date]],"")</f>
        <v/>
      </c>
    </row>
    <row r="67">
      <c r="A67" s="52" t="n"/>
      <c r="B67" s="53" t="n"/>
      <c r="C67" s="26" t="n"/>
      <c r="D67" s="26" t="n"/>
      <c r="E67" s="52" t="n"/>
      <c r="F67" s="52" t="n"/>
      <c r="G67" s="52" t="n"/>
      <c r="H67" s="52" t="n"/>
      <c r="I67" s="52" t="n"/>
      <c r="J67" s="26" t="n"/>
      <c r="K67" s="26" t="n"/>
      <c r="L67" s="59" t="str">
        <f>IF(tblActions[[#This Row],[Date]]="","","Q"&amp;(INT(MOD(MONTH(tblActions[[#This Row],[Date]])-StartMonth,12)/3)+1))</f>
        <v/>
      </c>
      <c r="M67"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67" s="54" t="str">
        <f>IF(tblActions[[#This Row],[Timing Flag]]="Overdue",AsOf-tblActions[[#This Row],[Date]],"")</f>
        <v/>
      </c>
    </row>
    <row r="68">
      <c r="A68" s="52" t="n"/>
      <c r="B68" s="53" t="n"/>
      <c r="C68" s="26" t="n"/>
      <c r="D68" s="26" t="n"/>
      <c r="E68" s="52" t="n"/>
      <c r="F68" s="52" t="n"/>
      <c r="G68" s="52" t="n"/>
      <c r="H68" s="52" t="n"/>
      <c r="I68" s="52" t="n"/>
      <c r="J68" s="26" t="n"/>
      <c r="K68" s="26" t="n"/>
      <c r="L68" s="59" t="str">
        <f>IF(tblActions[[#This Row],[Date]]="","","Q"&amp;(INT(MOD(MONTH(tblActions[[#This Row],[Date]])-StartMonth,12)/3)+1))</f>
        <v/>
      </c>
      <c r="M68"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68" s="54" t="str">
        <f>IF(tblActions[[#This Row],[Timing Flag]]="Overdue",AsOf-tblActions[[#This Row],[Date]],"")</f>
        <v/>
      </c>
    </row>
    <row r="69">
      <c r="A69" s="52" t="n"/>
      <c r="B69" s="53" t="n"/>
      <c r="C69" s="26" t="n"/>
      <c r="D69" s="26" t="n"/>
      <c r="E69" s="52" t="n"/>
      <c r="F69" s="52" t="n"/>
      <c r="G69" s="52" t="n"/>
      <c r="H69" s="52" t="n"/>
      <c r="I69" s="52" t="n"/>
      <c r="J69" s="26" t="n"/>
      <c r="K69" s="26" t="n"/>
      <c r="L69" s="59" t="str">
        <f>IF(tblActions[[#This Row],[Date]]="","","Q"&amp;(INT(MOD(MONTH(tblActions[[#This Row],[Date]])-StartMonth,12)/3)+1))</f>
        <v/>
      </c>
      <c r="M69"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69" s="54" t="str">
        <f>IF(tblActions[[#This Row],[Timing Flag]]="Overdue",AsOf-tblActions[[#This Row],[Date]],"")</f>
        <v/>
      </c>
    </row>
    <row r="70">
      <c r="A70" s="52" t="n"/>
      <c r="B70" s="53" t="n"/>
      <c r="C70" s="26" t="n"/>
      <c r="D70" s="26" t="n"/>
      <c r="E70" s="52" t="n"/>
      <c r="F70" s="52" t="n"/>
      <c r="G70" s="52" t="n"/>
      <c r="H70" s="52" t="n"/>
      <c r="I70" s="52" t="n"/>
      <c r="J70" s="26" t="n"/>
      <c r="K70" s="26" t="n"/>
      <c r="L70" s="59" t="str">
        <f>IF(tblActions[[#This Row],[Date]]="","","Q"&amp;(INT(MOD(MONTH(tblActions[[#This Row],[Date]])-StartMonth,12)/3)+1))</f>
        <v/>
      </c>
      <c r="M70"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70" s="54" t="str">
        <f>IF(tblActions[[#This Row],[Timing Flag]]="Overdue",AsOf-tblActions[[#This Row],[Date]],"")</f>
        <v/>
      </c>
    </row>
    <row r="71">
      <c r="A71" s="52" t="n"/>
      <c r="B71" s="53" t="n"/>
      <c r="C71" s="26" t="n"/>
      <c r="D71" s="26" t="n"/>
      <c r="E71" s="52" t="n"/>
      <c r="F71" s="52" t="n"/>
      <c r="G71" s="52" t="n"/>
      <c r="H71" s="52" t="n"/>
      <c r="I71" s="52" t="n"/>
      <c r="J71" s="26" t="n"/>
      <c r="K71" s="26" t="n"/>
      <c r="L71" s="59" t="str">
        <f>IF(tblActions[[#This Row],[Date]]="","","Q"&amp;(INT(MOD(MONTH(tblActions[[#This Row],[Date]])-StartMonth,12)/3)+1))</f>
        <v/>
      </c>
      <c r="M71"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71" s="54" t="str">
        <f>IF(tblActions[[#This Row],[Timing Flag]]="Overdue",AsOf-tblActions[[#This Row],[Date]],"")</f>
        <v/>
      </c>
    </row>
    <row r="72">
      <c r="A72" s="52" t="n"/>
      <c r="B72" s="53" t="n"/>
      <c r="C72" s="26" t="n"/>
      <c r="D72" s="26" t="n"/>
      <c r="E72" s="52" t="n"/>
      <c r="F72" s="52" t="n"/>
      <c r="G72" s="52" t="n"/>
      <c r="H72" s="52" t="n"/>
      <c r="I72" s="52" t="n"/>
      <c r="J72" s="26" t="n"/>
      <c r="K72" s="26" t="n"/>
      <c r="L72" s="59" t="str">
        <f>IF(tblActions[[#This Row],[Date]]="","","Q"&amp;(INT(MOD(MONTH(tblActions[[#This Row],[Date]])-StartMonth,12)/3)+1))</f>
        <v/>
      </c>
      <c r="M72"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72" s="54" t="str">
        <f>IF(tblActions[[#This Row],[Timing Flag]]="Overdue",AsOf-tblActions[[#This Row],[Date]],"")</f>
        <v/>
      </c>
    </row>
    <row r="73">
      <c r="A73" s="52" t="n"/>
      <c r="B73" s="53" t="n"/>
      <c r="C73" s="26" t="n"/>
      <c r="D73" s="26" t="n"/>
      <c r="E73" s="52" t="n"/>
      <c r="F73" s="52" t="n"/>
      <c r="G73" s="52" t="n"/>
      <c r="H73" s="52" t="n"/>
      <c r="I73" s="52" t="n"/>
      <c r="J73" s="26" t="n"/>
      <c r="K73" s="26" t="n"/>
      <c r="L73" s="59" t="str">
        <f>IF(tblActions[[#This Row],[Date]]="","","Q"&amp;(INT(MOD(MONTH(tblActions[[#This Row],[Date]])-StartMonth,12)/3)+1))</f>
        <v/>
      </c>
      <c r="M73"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73" s="54" t="str">
        <f>IF(tblActions[[#This Row],[Timing Flag]]="Overdue",AsOf-tblActions[[#This Row],[Date]],"")</f>
        <v/>
      </c>
    </row>
    <row r="74">
      <c r="A74" s="52" t="n"/>
      <c r="B74" s="53" t="n"/>
      <c r="C74" s="26" t="n"/>
      <c r="D74" s="26" t="n"/>
      <c r="E74" s="52" t="n"/>
      <c r="F74" s="52" t="n"/>
      <c r="G74" s="52" t="n"/>
      <c r="H74" s="52" t="n"/>
      <c r="I74" s="52" t="n"/>
      <c r="J74" s="26" t="n"/>
      <c r="K74" s="26" t="n"/>
      <c r="L74" s="59" t="str">
        <f>IF(tblActions[[#This Row],[Date]]="","","Q"&amp;(INT(MOD(MONTH(tblActions[[#This Row],[Date]])-StartMonth,12)/3)+1))</f>
        <v/>
      </c>
      <c r="M74"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74" s="54" t="str">
        <f>IF(tblActions[[#This Row],[Timing Flag]]="Overdue",AsOf-tblActions[[#This Row],[Date]],"")</f>
        <v/>
      </c>
    </row>
    <row r="75">
      <c r="A75" s="52" t="n"/>
      <c r="B75" s="53" t="n"/>
      <c r="C75" s="26" t="n"/>
      <c r="D75" s="26" t="n"/>
      <c r="E75" s="52" t="n"/>
      <c r="F75" s="52" t="n"/>
      <c r="G75" s="52" t="n"/>
      <c r="H75" s="52" t="n"/>
      <c r="I75" s="52" t="n"/>
      <c r="J75" s="26" t="n"/>
      <c r="K75" s="26" t="n"/>
      <c r="L75" s="59" t="str">
        <f>IF(tblActions[[#This Row],[Date]]="","","Q"&amp;(INT(MOD(MONTH(tblActions[[#This Row],[Date]])-StartMonth,12)/3)+1))</f>
        <v/>
      </c>
      <c r="M75"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75" s="54" t="str">
        <f>IF(tblActions[[#This Row],[Timing Flag]]="Overdue",AsOf-tblActions[[#This Row],[Date]],"")</f>
        <v/>
      </c>
    </row>
    <row r="76">
      <c r="A76" s="52" t="n"/>
      <c r="B76" s="53" t="n"/>
      <c r="C76" s="26" t="n"/>
      <c r="D76" s="26" t="n"/>
      <c r="E76" s="52" t="n"/>
      <c r="F76" s="52" t="n"/>
      <c r="G76" s="52" t="n"/>
      <c r="H76" s="52" t="n"/>
      <c r="I76" s="52" t="n"/>
      <c r="J76" s="26" t="n"/>
      <c r="K76" s="26" t="n"/>
      <c r="L76" s="59" t="str">
        <f>IF(tblActions[[#This Row],[Date]]="","","Q"&amp;(INT(MOD(MONTH(tblActions[[#This Row],[Date]])-StartMonth,12)/3)+1))</f>
        <v/>
      </c>
      <c r="M76"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76" s="54" t="str">
        <f>IF(tblActions[[#This Row],[Timing Flag]]="Overdue",AsOf-tblActions[[#This Row],[Date]],"")</f>
        <v/>
      </c>
    </row>
    <row r="77">
      <c r="A77" s="52" t="n"/>
      <c r="B77" s="53" t="n"/>
      <c r="C77" s="26" t="n"/>
      <c r="D77" s="26" t="n"/>
      <c r="E77" s="52" t="n"/>
      <c r="F77" s="52" t="n"/>
      <c r="G77" s="52" t="n"/>
      <c r="H77" s="52" t="n"/>
      <c r="I77" s="52" t="n"/>
      <c r="J77" s="26" t="n"/>
      <c r="K77" s="26" t="n"/>
      <c r="L77" s="59" t="str">
        <f>IF(tblActions[[#This Row],[Date]]="","","Q"&amp;(INT(MOD(MONTH(tblActions[[#This Row],[Date]])-StartMonth,12)/3)+1))</f>
        <v/>
      </c>
      <c r="M77"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77" s="54" t="str">
        <f>IF(tblActions[[#This Row],[Timing Flag]]="Overdue",AsOf-tblActions[[#This Row],[Date]],"")</f>
        <v/>
      </c>
    </row>
    <row r="78">
      <c r="A78" s="52" t="n"/>
      <c r="B78" s="53" t="n"/>
      <c r="C78" s="26" t="n"/>
      <c r="D78" s="26" t="n"/>
      <c r="E78" s="52" t="n"/>
      <c r="F78" s="52" t="n"/>
      <c r="G78" s="52" t="n"/>
      <c r="H78" s="52" t="n"/>
      <c r="I78" s="52" t="n"/>
      <c r="J78" s="26" t="n"/>
      <c r="K78" s="26" t="n"/>
      <c r="L78" s="59" t="str">
        <f>IF(tblActions[[#This Row],[Date]]="","","Q"&amp;(INT(MOD(MONTH(tblActions[[#This Row],[Date]])-StartMonth,12)/3)+1))</f>
        <v/>
      </c>
      <c r="M78"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78" s="54" t="str">
        <f>IF(tblActions[[#This Row],[Timing Flag]]="Overdue",AsOf-tblActions[[#This Row],[Date]],"")</f>
        <v/>
      </c>
    </row>
    <row r="79">
      <c r="A79" s="52" t="n"/>
      <c r="B79" s="53" t="n"/>
      <c r="C79" s="26" t="n"/>
      <c r="D79" s="26" t="n"/>
      <c r="E79" s="52" t="n"/>
      <c r="F79" s="52" t="n"/>
      <c r="G79" s="52" t="n"/>
      <c r="H79" s="52" t="n"/>
      <c r="I79" s="52" t="n"/>
      <c r="J79" s="26" t="n"/>
      <c r="K79" s="26" t="n"/>
      <c r="L79" s="59" t="str">
        <f>IF(tblActions[[#This Row],[Date]]="","","Q"&amp;(INT(MOD(MONTH(tblActions[[#This Row],[Date]])-StartMonth,12)/3)+1))</f>
        <v/>
      </c>
      <c r="M79"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79" s="54" t="str">
        <f>IF(tblActions[[#This Row],[Timing Flag]]="Overdue",AsOf-tblActions[[#This Row],[Date]],"")</f>
        <v/>
      </c>
    </row>
    <row r="80">
      <c r="A80" s="52" t="n"/>
      <c r="B80" s="53" t="n"/>
      <c r="C80" s="26" t="n"/>
      <c r="D80" s="26" t="n"/>
      <c r="E80" s="52" t="n"/>
      <c r="F80" s="52" t="n"/>
      <c r="G80" s="52" t="n"/>
      <c r="H80" s="52" t="n"/>
      <c r="I80" s="52" t="n"/>
      <c r="J80" s="26" t="n"/>
      <c r="K80" s="26" t="n"/>
      <c r="L80" s="59" t="str">
        <f>IF(tblActions[[#This Row],[Date]]="","","Q"&amp;(INT(MOD(MONTH(tblActions[[#This Row],[Date]])-StartMonth,12)/3)+1))</f>
        <v/>
      </c>
      <c r="M80"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80" s="54" t="str">
        <f>IF(tblActions[[#This Row],[Timing Flag]]="Overdue",AsOf-tblActions[[#This Row],[Date]],"")</f>
        <v/>
      </c>
    </row>
    <row r="81">
      <c r="A81" s="52" t="n"/>
      <c r="B81" s="53" t="n"/>
      <c r="C81" s="26" t="n"/>
      <c r="D81" s="26" t="n"/>
      <c r="E81" s="52" t="n"/>
      <c r="F81" s="52" t="n"/>
      <c r="G81" s="52" t="n"/>
      <c r="H81" s="52" t="n"/>
      <c r="I81" s="52" t="n"/>
      <c r="J81" s="26" t="n"/>
      <c r="K81" s="26" t="n"/>
      <c r="L81" s="59" t="str">
        <f>IF(tblActions[[#This Row],[Date]]="","","Q"&amp;(INT(MOD(MONTH(tblActions[[#This Row],[Date]])-StartMonth,12)/3)+1))</f>
        <v/>
      </c>
      <c r="M81"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81" s="54" t="str">
        <f>IF(tblActions[[#This Row],[Timing Flag]]="Overdue",AsOf-tblActions[[#This Row],[Date]],"")</f>
        <v/>
      </c>
    </row>
    <row r="82">
      <c r="A82" s="52" t="n"/>
      <c r="B82" s="53" t="n"/>
      <c r="C82" s="26" t="n"/>
      <c r="D82" s="26" t="n"/>
      <c r="E82" s="52" t="n"/>
      <c r="F82" s="52" t="n"/>
      <c r="G82" s="52" t="n"/>
      <c r="H82" s="52" t="n"/>
      <c r="I82" s="52" t="n"/>
      <c r="J82" s="26" t="n"/>
      <c r="K82" s="26" t="n"/>
      <c r="L82" s="59" t="str">
        <f>IF(tblActions[[#This Row],[Date]]="","","Q"&amp;(INT(MOD(MONTH(tblActions[[#This Row],[Date]])-StartMonth,12)/3)+1))</f>
        <v/>
      </c>
      <c r="M82"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82" s="54" t="str">
        <f>IF(tblActions[[#This Row],[Timing Flag]]="Overdue",AsOf-tblActions[[#This Row],[Date]],"")</f>
        <v/>
      </c>
    </row>
    <row r="83">
      <c r="A83" s="52" t="n"/>
      <c r="B83" s="53" t="n"/>
      <c r="C83" s="26" t="n"/>
      <c r="D83" s="26" t="n"/>
      <c r="E83" s="52" t="n"/>
      <c r="F83" s="52" t="n"/>
      <c r="G83" s="52" t="n"/>
      <c r="H83" s="52" t="n"/>
      <c r="I83" s="52" t="n"/>
      <c r="J83" s="26" t="n"/>
      <c r="K83" s="26" t="n"/>
      <c r="L83" s="59" t="str">
        <f>IF(tblActions[[#This Row],[Date]]="","","Q"&amp;(INT(MOD(MONTH(tblActions[[#This Row],[Date]])-StartMonth,12)/3)+1))</f>
        <v/>
      </c>
      <c r="M83"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83" s="54" t="str">
        <f>IF(tblActions[[#This Row],[Timing Flag]]="Overdue",AsOf-tblActions[[#This Row],[Date]],"")</f>
        <v/>
      </c>
    </row>
    <row r="84">
      <c r="A84" s="52" t="n"/>
      <c r="B84" s="53" t="n"/>
      <c r="C84" s="26" t="n"/>
      <c r="D84" s="26" t="n"/>
      <c r="E84" s="52" t="n"/>
      <c r="F84" s="52" t="n"/>
      <c r="G84" s="52" t="n"/>
      <c r="H84" s="52" t="n"/>
      <c r="I84" s="52" t="n"/>
      <c r="J84" s="26" t="n"/>
      <c r="K84" s="26" t="n"/>
      <c r="L84" s="59" t="str">
        <f>IF(tblActions[[#This Row],[Date]]="","","Q"&amp;(INT(MOD(MONTH(tblActions[[#This Row],[Date]])-StartMonth,12)/3)+1))</f>
        <v/>
      </c>
      <c r="M84"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84" s="54" t="str">
        <f>IF(tblActions[[#This Row],[Timing Flag]]="Overdue",AsOf-tblActions[[#This Row],[Date]],"")</f>
        <v/>
      </c>
    </row>
    <row r="85">
      <c r="A85" s="52" t="n"/>
      <c r="B85" s="53" t="n"/>
      <c r="C85" s="26" t="n"/>
      <c r="D85" s="26" t="n"/>
      <c r="E85" s="52" t="n"/>
      <c r="F85" s="52" t="n"/>
      <c r="G85" s="52" t="n"/>
      <c r="H85" s="52" t="n"/>
      <c r="I85" s="52" t="n"/>
      <c r="J85" s="26" t="n"/>
      <c r="K85" s="26" t="n"/>
      <c r="L85" s="59" t="str">
        <f>IF(tblActions[[#This Row],[Date]]="","","Q"&amp;(INT(MOD(MONTH(tblActions[[#This Row],[Date]])-StartMonth,12)/3)+1))</f>
        <v/>
      </c>
      <c r="M85"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85" s="54" t="str">
        <f>IF(tblActions[[#This Row],[Timing Flag]]="Overdue",AsOf-tblActions[[#This Row],[Date]],"")</f>
        <v/>
      </c>
    </row>
    <row r="86">
      <c r="A86" s="52" t="n"/>
      <c r="B86" s="53" t="n"/>
      <c r="C86" s="26" t="n"/>
      <c r="D86" s="26" t="n"/>
      <c r="E86" s="52" t="n"/>
      <c r="F86" s="52" t="n"/>
      <c r="G86" s="52" t="n"/>
      <c r="H86" s="52" t="n"/>
      <c r="I86" s="52" t="n"/>
      <c r="J86" s="26" t="n"/>
      <c r="K86" s="26" t="n"/>
      <c r="L86" s="59" t="str">
        <f>IF(tblActions[[#This Row],[Date]]="","","Q"&amp;(INT(MOD(MONTH(tblActions[[#This Row],[Date]])-StartMonth,12)/3)+1))</f>
        <v/>
      </c>
      <c r="M86"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86" s="54" t="str">
        <f>IF(tblActions[[#This Row],[Timing Flag]]="Overdue",AsOf-tblActions[[#This Row],[Date]],"")</f>
        <v/>
      </c>
    </row>
    <row r="87">
      <c r="A87" s="52" t="n"/>
      <c r="B87" s="53" t="n"/>
      <c r="C87" s="26" t="n"/>
      <c r="D87" s="26" t="n"/>
      <c r="E87" s="52" t="n"/>
      <c r="F87" s="52" t="n"/>
      <c r="G87" s="52" t="n"/>
      <c r="H87" s="52" t="n"/>
      <c r="I87" s="52" t="n"/>
      <c r="J87" s="26" t="n"/>
      <c r="K87" s="26" t="n"/>
      <c r="L87" s="59" t="str">
        <f>IF(tblActions[[#This Row],[Date]]="","","Q"&amp;(INT(MOD(MONTH(tblActions[[#This Row],[Date]])-StartMonth,12)/3)+1))</f>
        <v/>
      </c>
      <c r="M87"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87" s="54" t="str">
        <f>IF(tblActions[[#This Row],[Timing Flag]]="Overdue",AsOf-tblActions[[#This Row],[Date]],"")</f>
        <v/>
      </c>
    </row>
    <row r="88">
      <c r="A88" s="52" t="n"/>
      <c r="B88" s="53" t="n"/>
      <c r="C88" s="26" t="n"/>
      <c r="D88" s="26" t="n"/>
      <c r="E88" s="52" t="n"/>
      <c r="F88" s="52" t="n"/>
      <c r="G88" s="52" t="n"/>
      <c r="H88" s="52" t="n"/>
      <c r="I88" s="52" t="n"/>
      <c r="J88" s="26" t="n"/>
      <c r="K88" s="26" t="n"/>
      <c r="L88" s="59" t="str">
        <f>IF(tblActions[[#This Row],[Date]]="","","Q"&amp;(INT(MOD(MONTH(tblActions[[#This Row],[Date]])-StartMonth,12)/3)+1))</f>
        <v/>
      </c>
      <c r="M88"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88" s="54" t="str">
        <f>IF(tblActions[[#This Row],[Timing Flag]]="Overdue",AsOf-tblActions[[#This Row],[Date]],"")</f>
        <v/>
      </c>
    </row>
    <row r="89">
      <c r="A89" s="52" t="n"/>
      <c r="B89" s="53" t="n"/>
      <c r="C89" s="26" t="n"/>
      <c r="D89" s="26" t="n"/>
      <c r="E89" s="52" t="n"/>
      <c r="F89" s="52" t="n"/>
      <c r="G89" s="52" t="n"/>
      <c r="H89" s="52" t="n"/>
      <c r="I89" s="52" t="n"/>
      <c r="J89" s="26" t="n"/>
      <c r="K89" s="26" t="n"/>
      <c r="L89" s="59" t="str">
        <f>IF(tblActions[[#This Row],[Date]]="","","Q"&amp;(INT(MOD(MONTH(tblActions[[#This Row],[Date]])-StartMonth,12)/3)+1))</f>
        <v/>
      </c>
      <c r="M89"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89" s="54" t="str">
        <f>IF(tblActions[[#This Row],[Timing Flag]]="Overdue",AsOf-tblActions[[#This Row],[Date]],"")</f>
        <v/>
      </c>
    </row>
    <row r="90">
      <c r="A90" s="52" t="n"/>
      <c r="B90" s="53" t="n"/>
      <c r="C90" s="26" t="n"/>
      <c r="D90" s="26" t="n"/>
      <c r="E90" s="52" t="n"/>
      <c r="F90" s="52" t="n"/>
      <c r="G90" s="52" t="n"/>
      <c r="H90" s="52" t="n"/>
      <c r="I90" s="52" t="n"/>
      <c r="J90" s="26" t="n"/>
      <c r="K90" s="26" t="n"/>
      <c r="L90" s="59" t="str">
        <f>IF(tblActions[[#This Row],[Date]]="","","Q"&amp;(INT(MOD(MONTH(tblActions[[#This Row],[Date]])-StartMonth,12)/3)+1))</f>
        <v/>
      </c>
      <c r="M90"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90" s="54" t="str">
        <f>IF(tblActions[[#This Row],[Timing Flag]]="Overdue",AsOf-tblActions[[#This Row],[Date]],"")</f>
        <v/>
      </c>
    </row>
    <row r="91">
      <c r="A91" s="52" t="n"/>
      <c r="B91" s="53" t="n"/>
      <c r="C91" s="26" t="n"/>
      <c r="D91" s="26" t="n"/>
      <c r="E91" s="52" t="n"/>
      <c r="F91" s="52" t="n"/>
      <c r="G91" s="52" t="n"/>
      <c r="H91" s="52" t="n"/>
      <c r="I91" s="52" t="n"/>
      <c r="J91" s="26" t="n"/>
      <c r="K91" s="26" t="n"/>
      <c r="L91" s="59" t="str">
        <f>IF(tblActions[[#This Row],[Date]]="","","Q"&amp;(INT(MOD(MONTH(tblActions[[#This Row],[Date]])-StartMonth,12)/3)+1))</f>
        <v/>
      </c>
      <c r="M91"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91" s="54" t="str">
        <f>IF(tblActions[[#This Row],[Timing Flag]]="Overdue",AsOf-tblActions[[#This Row],[Date]],"")</f>
        <v/>
      </c>
    </row>
    <row r="92">
      <c r="A92" s="52" t="n"/>
      <c r="B92" s="53" t="n"/>
      <c r="C92" s="26" t="n"/>
      <c r="D92" s="26" t="n"/>
      <c r="E92" s="52" t="n"/>
      <c r="F92" s="52" t="n"/>
      <c r="G92" s="52" t="n"/>
      <c r="H92" s="52" t="n"/>
      <c r="I92" s="52" t="n"/>
      <c r="J92" s="26" t="n"/>
      <c r="K92" s="26" t="n"/>
      <c r="L92" s="59" t="str">
        <f>IF(tblActions[[#This Row],[Date]]="","","Q"&amp;(INT(MOD(MONTH(tblActions[[#This Row],[Date]])-StartMonth,12)/3)+1))</f>
        <v/>
      </c>
      <c r="M92"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92" s="54" t="str">
        <f>IF(tblActions[[#This Row],[Timing Flag]]="Overdue",AsOf-tblActions[[#This Row],[Date]],"")</f>
        <v/>
      </c>
    </row>
    <row r="93">
      <c r="A93" s="52" t="n"/>
      <c r="B93" s="53" t="n"/>
      <c r="C93" s="26" t="n"/>
      <c r="D93" s="26" t="n"/>
      <c r="E93" s="52" t="n"/>
      <c r="F93" s="52" t="n"/>
      <c r="G93" s="52" t="n"/>
      <c r="H93" s="52" t="n"/>
      <c r="I93" s="52" t="n"/>
      <c r="J93" s="26" t="n"/>
      <c r="K93" s="26" t="n"/>
      <c r="L93" s="59" t="str">
        <f>IF(tblActions[[#This Row],[Date]]="","","Q"&amp;(INT(MOD(MONTH(tblActions[[#This Row],[Date]])-StartMonth,12)/3)+1))</f>
        <v/>
      </c>
      <c r="M93"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93" s="54" t="str">
        <f>IF(tblActions[[#This Row],[Timing Flag]]="Overdue",AsOf-tblActions[[#This Row],[Date]],"")</f>
        <v/>
      </c>
    </row>
    <row r="94">
      <c r="A94" s="52" t="n"/>
      <c r="B94" s="53" t="n"/>
      <c r="C94" s="26" t="n"/>
      <c r="D94" s="26" t="n"/>
      <c r="E94" s="52" t="n"/>
      <c r="F94" s="52" t="n"/>
      <c r="G94" s="52" t="n"/>
      <c r="H94" s="52" t="n"/>
      <c r="I94" s="52" t="n"/>
      <c r="J94" s="26" t="n"/>
      <c r="K94" s="26" t="n"/>
      <c r="L94" s="59" t="str">
        <f>IF(tblActions[[#This Row],[Date]]="","","Q"&amp;(INT(MOD(MONTH(tblActions[[#This Row],[Date]])-StartMonth,12)/3)+1))</f>
        <v/>
      </c>
      <c r="M94"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94" s="54" t="str">
        <f>IF(tblActions[[#This Row],[Timing Flag]]="Overdue",AsOf-tblActions[[#This Row],[Date]],"")</f>
        <v/>
      </c>
    </row>
    <row r="95">
      <c r="A95" s="52" t="n"/>
      <c r="B95" s="53" t="n"/>
      <c r="C95" s="26" t="n"/>
      <c r="D95" s="26" t="n"/>
      <c r="E95" s="52" t="n"/>
      <c r="F95" s="52" t="n"/>
      <c r="G95" s="52" t="n"/>
      <c r="H95" s="52" t="n"/>
      <c r="I95" s="52" t="n"/>
      <c r="J95" s="26" t="n"/>
      <c r="K95" s="26" t="n"/>
      <c r="L95" s="59" t="str">
        <f>IF(tblActions[[#This Row],[Date]]="","","Q"&amp;(INT(MOD(MONTH(tblActions[[#This Row],[Date]])-StartMonth,12)/3)+1))</f>
        <v/>
      </c>
      <c r="M95"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95" s="54" t="str">
        <f>IF(tblActions[[#This Row],[Timing Flag]]="Overdue",AsOf-tblActions[[#This Row],[Date]],"")</f>
        <v/>
      </c>
    </row>
    <row r="96">
      <c r="A96" s="52" t="n"/>
      <c r="B96" s="53" t="n"/>
      <c r="C96" s="26" t="n"/>
      <c r="D96" s="26" t="n"/>
      <c r="E96" s="52" t="n"/>
      <c r="F96" s="52" t="n"/>
      <c r="G96" s="52" t="n"/>
      <c r="H96" s="52" t="n"/>
      <c r="I96" s="52" t="n"/>
      <c r="J96" s="26" t="n"/>
      <c r="K96" s="26" t="n"/>
      <c r="L96" s="59" t="str">
        <f>IF(tblActions[[#This Row],[Date]]="","","Q"&amp;(INT(MOD(MONTH(tblActions[[#This Row],[Date]])-StartMonth,12)/3)+1))</f>
        <v/>
      </c>
      <c r="M96"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96" s="54" t="str">
        <f>IF(tblActions[[#This Row],[Timing Flag]]="Overdue",AsOf-tblActions[[#This Row],[Date]],"")</f>
        <v/>
      </c>
    </row>
    <row r="97">
      <c r="A97" s="52" t="n"/>
      <c r="B97" s="53" t="n"/>
      <c r="C97" s="26" t="n"/>
      <c r="D97" s="26" t="n"/>
      <c r="E97" s="52" t="n"/>
      <c r="F97" s="52" t="n"/>
      <c r="G97" s="52" t="n"/>
      <c r="H97" s="52" t="n"/>
      <c r="I97" s="52" t="n"/>
      <c r="J97" s="26" t="n"/>
      <c r="K97" s="26" t="n"/>
      <c r="L97" s="59" t="str">
        <f>IF(tblActions[[#This Row],[Date]]="","","Q"&amp;(INT(MOD(MONTH(tblActions[[#This Row],[Date]])-StartMonth,12)/3)+1))</f>
        <v/>
      </c>
      <c r="M97"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97" s="54" t="str">
        <f>IF(tblActions[[#This Row],[Timing Flag]]="Overdue",AsOf-tblActions[[#This Row],[Date]],"")</f>
        <v/>
      </c>
    </row>
    <row r="98">
      <c r="A98" s="52" t="n"/>
      <c r="B98" s="53" t="n"/>
      <c r="C98" s="26" t="n"/>
      <c r="D98" s="26" t="n"/>
      <c r="E98" s="52" t="n"/>
      <c r="F98" s="52" t="n"/>
      <c r="G98" s="52" t="n"/>
      <c r="H98" s="52" t="n"/>
      <c r="I98" s="52" t="n"/>
      <c r="J98" s="26" t="n"/>
      <c r="K98" s="26" t="n"/>
      <c r="L98" s="59" t="str">
        <f>IF(tblActions[[#This Row],[Date]]="","","Q"&amp;(INT(MOD(MONTH(tblActions[[#This Row],[Date]])-StartMonth,12)/3)+1))</f>
        <v/>
      </c>
      <c r="M98"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98" s="54" t="str">
        <f>IF(tblActions[[#This Row],[Timing Flag]]="Overdue",AsOf-tblActions[[#This Row],[Date]],"")</f>
        <v/>
      </c>
    </row>
    <row r="99">
      <c r="A99" s="52" t="n"/>
      <c r="B99" s="53" t="n"/>
      <c r="C99" s="26" t="n"/>
      <c r="D99" s="26" t="n"/>
      <c r="E99" s="52" t="n"/>
      <c r="F99" s="52" t="n"/>
      <c r="G99" s="52" t="n"/>
      <c r="H99" s="52" t="n"/>
      <c r="I99" s="52" t="n"/>
      <c r="J99" s="26" t="n"/>
      <c r="K99" s="26" t="n"/>
      <c r="L99" s="59" t="str">
        <f>IF(tblActions[[#This Row],[Date]]="","","Q"&amp;(INT(MOD(MONTH(tblActions[[#This Row],[Date]])-StartMonth,12)/3)+1))</f>
        <v/>
      </c>
      <c r="M99"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99" s="54" t="str">
        <f>IF(tblActions[[#This Row],[Timing Flag]]="Overdue",AsOf-tblActions[[#This Row],[Date]],"")</f>
        <v/>
      </c>
    </row>
    <row r="100">
      <c r="A100" s="52" t="n"/>
      <c r="B100" s="53" t="n"/>
      <c r="C100" s="26" t="n"/>
      <c r="D100" s="26" t="n"/>
      <c r="E100" s="52" t="n"/>
      <c r="F100" s="52" t="n"/>
      <c r="G100" s="52" t="n"/>
      <c r="H100" s="52" t="n"/>
      <c r="I100" s="52" t="n"/>
      <c r="J100" s="26" t="n"/>
      <c r="K100" s="26" t="n"/>
      <c r="L100" s="59" t="str">
        <f>IF(tblActions[[#This Row],[Date]]="","","Q"&amp;(INT(MOD(MONTH(tblActions[[#This Row],[Date]])-StartMonth,12)/3)+1))</f>
        <v/>
      </c>
      <c r="M100"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00" s="54" t="str">
        <f>IF(tblActions[[#This Row],[Timing Flag]]="Overdue",AsOf-tblActions[[#This Row],[Date]],"")</f>
        <v/>
      </c>
    </row>
    <row r="101">
      <c r="A101" s="52" t="n"/>
      <c r="B101" s="53" t="n"/>
      <c r="C101" s="26" t="n"/>
      <c r="D101" s="26" t="n"/>
      <c r="E101" s="52" t="n"/>
      <c r="F101" s="52" t="n"/>
      <c r="G101" s="52" t="n"/>
      <c r="H101" s="52" t="n"/>
      <c r="I101" s="52" t="n"/>
      <c r="J101" s="26" t="n"/>
      <c r="K101" s="26" t="n"/>
      <c r="L101" s="59" t="str">
        <f>IF(tblActions[[#This Row],[Date]]="","","Q"&amp;(INT(MOD(MONTH(tblActions[[#This Row],[Date]])-StartMonth,12)/3)+1))</f>
        <v/>
      </c>
      <c r="M101"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01" s="54" t="str">
        <f>IF(tblActions[[#This Row],[Timing Flag]]="Overdue",AsOf-tblActions[[#This Row],[Date]],"")</f>
        <v/>
      </c>
    </row>
    <row r="102">
      <c r="A102" s="52" t="n"/>
      <c r="B102" s="53" t="n"/>
      <c r="C102" s="26" t="n"/>
      <c r="D102" s="26" t="n"/>
      <c r="E102" s="52" t="n"/>
      <c r="F102" s="52" t="n"/>
      <c r="G102" s="52" t="n"/>
      <c r="H102" s="52" t="n"/>
      <c r="I102" s="52" t="n"/>
      <c r="J102" s="26" t="n"/>
      <c r="K102" s="26" t="n"/>
      <c r="L102" s="59" t="str">
        <f>IF(tblActions[[#This Row],[Date]]="","","Q"&amp;(INT(MOD(MONTH(tblActions[[#This Row],[Date]])-StartMonth,12)/3)+1))</f>
        <v/>
      </c>
      <c r="M102"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02" s="54" t="str">
        <f>IF(tblActions[[#This Row],[Timing Flag]]="Overdue",AsOf-tblActions[[#This Row],[Date]],"")</f>
        <v/>
      </c>
    </row>
    <row r="103">
      <c r="A103" s="52" t="n"/>
      <c r="B103" s="53" t="n"/>
      <c r="C103" s="26" t="n"/>
      <c r="D103" s="26" t="n"/>
      <c r="E103" s="52" t="n"/>
      <c r="F103" s="52" t="n"/>
      <c r="G103" s="52" t="n"/>
      <c r="H103" s="52" t="n"/>
      <c r="I103" s="52" t="n"/>
      <c r="J103" s="26" t="n"/>
      <c r="K103" s="26" t="n"/>
      <c r="L103" s="59" t="str">
        <f>IF(tblActions[[#This Row],[Date]]="","","Q"&amp;(INT(MOD(MONTH(tblActions[[#This Row],[Date]])-StartMonth,12)/3)+1))</f>
        <v/>
      </c>
      <c r="M103"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03" s="54" t="str">
        <f>IF(tblActions[[#This Row],[Timing Flag]]="Overdue",AsOf-tblActions[[#This Row],[Date]],"")</f>
        <v/>
      </c>
    </row>
    <row r="104">
      <c r="A104" s="52" t="n"/>
      <c r="B104" s="53" t="n"/>
      <c r="C104" s="26" t="n"/>
      <c r="D104" s="26" t="n"/>
      <c r="E104" s="52" t="n"/>
      <c r="F104" s="52" t="n"/>
      <c r="G104" s="52" t="n"/>
      <c r="H104" s="52" t="n"/>
      <c r="I104" s="52" t="n"/>
      <c r="J104" s="26" t="n"/>
      <c r="K104" s="26" t="n"/>
      <c r="L104" s="59" t="str">
        <f>IF(tblActions[[#This Row],[Date]]="","","Q"&amp;(INT(MOD(MONTH(tblActions[[#This Row],[Date]])-StartMonth,12)/3)+1))</f>
        <v/>
      </c>
      <c r="M104"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04" s="54" t="str">
        <f>IF(tblActions[[#This Row],[Timing Flag]]="Overdue",AsOf-tblActions[[#This Row],[Date]],"")</f>
        <v/>
      </c>
    </row>
    <row r="105">
      <c r="A105" s="52" t="n"/>
      <c r="B105" s="53" t="n"/>
      <c r="C105" s="26" t="n"/>
      <c r="D105" s="26" t="n"/>
      <c r="E105" s="52" t="n"/>
      <c r="F105" s="52" t="n"/>
      <c r="G105" s="52" t="n"/>
      <c r="H105" s="52" t="n"/>
      <c r="I105" s="52" t="n"/>
      <c r="J105" s="26" t="n"/>
      <c r="K105" s="26" t="n"/>
      <c r="L105" s="59" t="str">
        <f>IF(tblActions[[#This Row],[Date]]="","","Q"&amp;(INT(MOD(MONTH(tblActions[[#This Row],[Date]])-StartMonth,12)/3)+1))</f>
        <v/>
      </c>
      <c r="M105"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05" s="54" t="str">
        <f>IF(tblActions[[#This Row],[Timing Flag]]="Overdue",AsOf-tblActions[[#This Row],[Date]],"")</f>
        <v/>
      </c>
    </row>
    <row r="106">
      <c r="A106" s="52" t="n"/>
      <c r="B106" s="53" t="n"/>
      <c r="C106" s="26" t="n"/>
      <c r="D106" s="26" t="n"/>
      <c r="E106" s="52" t="n"/>
      <c r="F106" s="52" t="n"/>
      <c r="G106" s="52" t="n"/>
      <c r="H106" s="52" t="n"/>
      <c r="I106" s="52" t="n"/>
      <c r="J106" s="26" t="n"/>
      <c r="K106" s="26" t="n"/>
      <c r="L106" s="59" t="str">
        <f>IF(tblActions[[#This Row],[Date]]="","","Q"&amp;(INT(MOD(MONTH(tblActions[[#This Row],[Date]])-StartMonth,12)/3)+1))</f>
        <v/>
      </c>
      <c r="M106"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06" s="54" t="str">
        <f>IF(tblActions[[#This Row],[Timing Flag]]="Overdue",AsOf-tblActions[[#This Row],[Date]],"")</f>
        <v/>
      </c>
    </row>
    <row r="107">
      <c r="A107" s="52" t="n"/>
      <c r="B107" s="53" t="n"/>
      <c r="C107" s="26" t="n"/>
      <c r="D107" s="26" t="n"/>
      <c r="E107" s="52" t="n"/>
      <c r="F107" s="52" t="n"/>
      <c r="G107" s="52" t="n"/>
      <c r="H107" s="52" t="n"/>
      <c r="I107" s="52" t="n"/>
      <c r="J107" s="26" t="n"/>
      <c r="K107" s="26" t="n"/>
      <c r="L107" s="59" t="str">
        <f>IF(tblActions[[#This Row],[Date]]="","","Q"&amp;(INT(MOD(MONTH(tblActions[[#This Row],[Date]])-StartMonth,12)/3)+1))</f>
        <v/>
      </c>
      <c r="M107"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07" s="54" t="str">
        <f>IF(tblActions[[#This Row],[Timing Flag]]="Overdue",AsOf-tblActions[[#This Row],[Date]],"")</f>
        <v/>
      </c>
    </row>
    <row r="108">
      <c r="A108" s="52" t="n"/>
      <c r="B108" s="53" t="n"/>
      <c r="C108" s="26" t="n"/>
      <c r="D108" s="26" t="n"/>
      <c r="E108" s="52" t="n"/>
      <c r="F108" s="52" t="n"/>
      <c r="G108" s="52" t="n"/>
      <c r="H108" s="52" t="n"/>
      <c r="I108" s="52" t="n"/>
      <c r="J108" s="26" t="n"/>
      <c r="K108" s="26" t="n"/>
      <c r="L108" s="59" t="str">
        <f>IF(tblActions[[#This Row],[Date]]="","","Q"&amp;(INT(MOD(MONTH(tblActions[[#This Row],[Date]])-StartMonth,12)/3)+1))</f>
        <v/>
      </c>
      <c r="M108"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08" s="54" t="str">
        <f>IF(tblActions[[#This Row],[Timing Flag]]="Overdue",AsOf-tblActions[[#This Row],[Date]],"")</f>
        <v/>
      </c>
    </row>
    <row r="109">
      <c r="A109" s="52" t="n"/>
      <c r="B109" s="53" t="n"/>
      <c r="C109" s="26" t="n"/>
      <c r="D109" s="26" t="n"/>
      <c r="E109" s="52" t="n"/>
      <c r="F109" s="52" t="n"/>
      <c r="G109" s="52" t="n"/>
      <c r="H109" s="52" t="n"/>
      <c r="I109" s="52" t="n"/>
      <c r="J109" s="26" t="n"/>
      <c r="K109" s="26" t="n"/>
      <c r="L109" s="59" t="str">
        <f>IF(tblActions[[#This Row],[Date]]="","","Q"&amp;(INT(MOD(MONTH(tblActions[[#This Row],[Date]])-StartMonth,12)/3)+1))</f>
        <v/>
      </c>
      <c r="M109"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09" s="54" t="str">
        <f>IF(tblActions[[#This Row],[Timing Flag]]="Overdue",AsOf-tblActions[[#This Row],[Date]],"")</f>
        <v/>
      </c>
    </row>
    <row r="110">
      <c r="A110" s="52" t="n"/>
      <c r="B110" s="53" t="n"/>
      <c r="C110" s="26" t="n"/>
      <c r="D110" s="26" t="n"/>
      <c r="E110" s="52" t="n"/>
      <c r="F110" s="52" t="n"/>
      <c r="G110" s="52" t="n"/>
      <c r="H110" s="52" t="n"/>
      <c r="I110" s="52" t="n"/>
      <c r="J110" s="26" t="n"/>
      <c r="K110" s="26" t="n"/>
      <c r="L110" s="59" t="str">
        <f>IF(tblActions[[#This Row],[Date]]="","","Q"&amp;(INT(MOD(MONTH(tblActions[[#This Row],[Date]])-StartMonth,12)/3)+1))</f>
        <v/>
      </c>
      <c r="M110"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10" s="54" t="str">
        <f>IF(tblActions[[#This Row],[Timing Flag]]="Overdue",AsOf-tblActions[[#This Row],[Date]],"")</f>
        <v/>
      </c>
    </row>
    <row r="111">
      <c r="A111" s="52" t="n"/>
      <c r="B111" s="53" t="n"/>
      <c r="C111" s="26" t="n"/>
      <c r="D111" s="26" t="n"/>
      <c r="E111" s="52" t="n"/>
      <c r="F111" s="52" t="n"/>
      <c r="G111" s="52" t="n"/>
      <c r="H111" s="52" t="n"/>
      <c r="I111" s="52" t="n"/>
      <c r="J111" s="26" t="n"/>
      <c r="K111" s="26" t="n"/>
      <c r="L111" s="59" t="str">
        <f>IF(tblActions[[#This Row],[Date]]="","","Q"&amp;(INT(MOD(MONTH(tblActions[[#This Row],[Date]])-StartMonth,12)/3)+1))</f>
        <v/>
      </c>
      <c r="M111"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11" s="54" t="str">
        <f>IF(tblActions[[#This Row],[Timing Flag]]="Overdue",AsOf-tblActions[[#This Row],[Date]],"")</f>
        <v/>
      </c>
    </row>
    <row r="112">
      <c r="A112" s="52" t="n"/>
      <c r="B112" s="53" t="n"/>
      <c r="C112" s="26" t="n"/>
      <c r="D112" s="26" t="n"/>
      <c r="E112" s="52" t="n"/>
      <c r="F112" s="52" t="n"/>
      <c r="G112" s="52" t="n"/>
      <c r="H112" s="52" t="n"/>
      <c r="I112" s="52" t="n"/>
      <c r="J112" s="26" t="n"/>
      <c r="K112" s="26" t="n"/>
      <c r="L112" s="59" t="str">
        <f>IF(tblActions[[#This Row],[Date]]="","","Q"&amp;(INT(MOD(MONTH(tblActions[[#This Row],[Date]])-StartMonth,12)/3)+1))</f>
        <v/>
      </c>
      <c r="M112"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12" s="54" t="str">
        <f>IF(tblActions[[#This Row],[Timing Flag]]="Overdue",AsOf-tblActions[[#This Row],[Date]],"")</f>
        <v/>
      </c>
    </row>
    <row r="113">
      <c r="A113" s="52" t="n"/>
      <c r="B113" s="53" t="n"/>
      <c r="C113" s="26" t="n"/>
      <c r="D113" s="26" t="n"/>
      <c r="E113" s="52" t="n"/>
      <c r="F113" s="52" t="n"/>
      <c r="G113" s="52" t="n"/>
      <c r="H113" s="52" t="n"/>
      <c r="I113" s="52" t="n"/>
      <c r="J113" s="26" t="n"/>
      <c r="K113" s="26" t="n"/>
      <c r="L113" s="59" t="str">
        <f>IF(tblActions[[#This Row],[Date]]="","","Q"&amp;(INT(MOD(MONTH(tblActions[[#This Row],[Date]])-StartMonth,12)/3)+1))</f>
        <v/>
      </c>
      <c r="M113"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13" s="54" t="str">
        <f>IF(tblActions[[#This Row],[Timing Flag]]="Overdue",AsOf-tblActions[[#This Row],[Date]],"")</f>
        <v/>
      </c>
    </row>
    <row r="114">
      <c r="A114" s="52" t="n"/>
      <c r="B114" s="53" t="n"/>
      <c r="C114" s="26" t="n"/>
      <c r="D114" s="26" t="n"/>
      <c r="E114" s="52" t="n"/>
      <c r="F114" s="52" t="n"/>
      <c r="G114" s="52" t="n"/>
      <c r="H114" s="52" t="n"/>
      <c r="I114" s="52" t="n"/>
      <c r="J114" s="26" t="n"/>
      <c r="K114" s="26" t="n"/>
      <c r="L114" s="59" t="str">
        <f>IF(tblActions[[#This Row],[Date]]="","","Q"&amp;(INT(MOD(MONTH(tblActions[[#This Row],[Date]])-StartMonth,12)/3)+1))</f>
        <v/>
      </c>
      <c r="M114"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14" s="54" t="str">
        <f>IF(tblActions[[#This Row],[Timing Flag]]="Overdue",AsOf-tblActions[[#This Row],[Date]],"")</f>
        <v/>
      </c>
    </row>
    <row r="115">
      <c r="A115" s="52" t="n"/>
      <c r="B115" s="53" t="n"/>
      <c r="C115" s="26" t="n"/>
      <c r="D115" s="26" t="n"/>
      <c r="E115" s="52" t="n"/>
      <c r="F115" s="52" t="n"/>
      <c r="G115" s="52" t="n"/>
      <c r="H115" s="52" t="n"/>
      <c r="I115" s="52" t="n"/>
      <c r="J115" s="26" t="n"/>
      <c r="K115" s="26" t="n"/>
      <c r="L115" s="59" t="str">
        <f>IF(tblActions[[#This Row],[Date]]="","","Q"&amp;(INT(MOD(MONTH(tblActions[[#This Row],[Date]])-StartMonth,12)/3)+1))</f>
        <v/>
      </c>
      <c r="M115"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15" s="54" t="str">
        <f>IF(tblActions[[#This Row],[Timing Flag]]="Overdue",AsOf-tblActions[[#This Row],[Date]],"")</f>
        <v/>
      </c>
    </row>
    <row r="116">
      <c r="A116" s="52" t="n"/>
      <c r="B116" s="53" t="n"/>
      <c r="C116" s="26" t="n"/>
      <c r="D116" s="26" t="n"/>
      <c r="E116" s="52" t="n"/>
      <c r="F116" s="52" t="n"/>
      <c r="G116" s="52" t="n"/>
      <c r="H116" s="52" t="n"/>
      <c r="I116" s="52" t="n"/>
      <c r="J116" s="26" t="n"/>
      <c r="K116" s="26" t="n"/>
      <c r="L116" s="59" t="str">
        <f>IF(tblActions[[#This Row],[Date]]="","","Q"&amp;(INT(MOD(MONTH(tblActions[[#This Row],[Date]])-StartMonth,12)/3)+1))</f>
        <v/>
      </c>
      <c r="M116"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16" s="54" t="str">
        <f>IF(tblActions[[#This Row],[Timing Flag]]="Overdue",AsOf-tblActions[[#This Row],[Date]],"")</f>
        <v/>
      </c>
    </row>
    <row r="117">
      <c r="A117" s="52" t="n"/>
      <c r="B117" s="53" t="n"/>
      <c r="C117" s="26" t="n"/>
      <c r="D117" s="26" t="n"/>
      <c r="E117" s="52" t="n"/>
      <c r="F117" s="52" t="n"/>
      <c r="G117" s="52" t="n"/>
      <c r="H117" s="52" t="n"/>
      <c r="I117" s="52" t="n"/>
      <c r="J117" s="26" t="n"/>
      <c r="K117" s="26" t="n"/>
      <c r="L117" s="59" t="str">
        <f>IF(tblActions[[#This Row],[Date]]="","","Q"&amp;(INT(MOD(MONTH(tblActions[[#This Row],[Date]])-StartMonth,12)/3)+1))</f>
        <v/>
      </c>
      <c r="M117"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17" s="54" t="str">
        <f>IF(tblActions[[#This Row],[Timing Flag]]="Overdue",AsOf-tblActions[[#This Row],[Date]],"")</f>
        <v/>
      </c>
    </row>
    <row r="118">
      <c r="A118" s="52" t="n"/>
      <c r="B118" s="53" t="n"/>
      <c r="C118" s="26" t="n"/>
      <c r="D118" s="26" t="n"/>
      <c r="E118" s="52" t="n"/>
      <c r="F118" s="52" t="n"/>
      <c r="G118" s="52" t="n"/>
      <c r="H118" s="52" t="n"/>
      <c r="I118" s="52" t="n"/>
      <c r="J118" s="26" t="n"/>
      <c r="K118" s="26" t="n"/>
      <c r="L118" s="59" t="str">
        <f>IF(tblActions[[#This Row],[Date]]="","","Q"&amp;(INT(MOD(MONTH(tblActions[[#This Row],[Date]])-StartMonth,12)/3)+1))</f>
        <v/>
      </c>
      <c r="M118"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18" s="54" t="str">
        <f>IF(tblActions[[#This Row],[Timing Flag]]="Overdue",AsOf-tblActions[[#This Row],[Date]],"")</f>
        <v/>
      </c>
    </row>
    <row r="119">
      <c r="A119" s="52" t="n"/>
      <c r="B119" s="53" t="n"/>
      <c r="C119" s="26" t="n"/>
      <c r="D119" s="26" t="n"/>
      <c r="E119" s="52" t="n"/>
      <c r="F119" s="52" t="n"/>
      <c r="G119" s="52" t="n"/>
      <c r="H119" s="52" t="n"/>
      <c r="I119" s="52" t="n"/>
      <c r="J119" s="26" t="n"/>
      <c r="K119" s="26" t="n"/>
      <c r="L119" s="59" t="str">
        <f>IF(tblActions[[#This Row],[Date]]="","","Q"&amp;(INT(MOD(MONTH(tblActions[[#This Row],[Date]])-StartMonth,12)/3)+1))</f>
        <v/>
      </c>
      <c r="M119"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19" s="54" t="str">
        <f>IF(tblActions[[#This Row],[Timing Flag]]="Overdue",AsOf-tblActions[[#This Row],[Date]],"")</f>
        <v/>
      </c>
    </row>
    <row r="120">
      <c r="A120" s="52" t="n"/>
      <c r="B120" s="53" t="n"/>
      <c r="C120" s="26" t="n"/>
      <c r="D120" s="26" t="n"/>
      <c r="E120" s="52" t="n"/>
      <c r="F120" s="52" t="n"/>
      <c r="G120" s="52" t="n"/>
      <c r="H120" s="52" t="n"/>
      <c r="I120" s="52" t="n"/>
      <c r="J120" s="26" t="n"/>
      <c r="K120" s="26" t="n"/>
      <c r="L120" s="59" t="str">
        <f>IF(tblActions[[#This Row],[Date]]="","","Q"&amp;(INT(MOD(MONTH(tblActions[[#This Row],[Date]])-StartMonth,12)/3)+1))</f>
        <v/>
      </c>
      <c r="M120"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20" s="54" t="str">
        <f>IF(tblActions[[#This Row],[Timing Flag]]="Overdue",AsOf-tblActions[[#This Row],[Date]],"")</f>
        <v/>
      </c>
    </row>
    <row r="121">
      <c r="A121" s="52" t="n"/>
      <c r="B121" s="53" t="n"/>
      <c r="C121" s="26" t="n"/>
      <c r="D121" s="26" t="n"/>
      <c r="E121" s="52" t="n"/>
      <c r="F121" s="52" t="n"/>
      <c r="G121" s="52" t="n"/>
      <c r="H121" s="52" t="n"/>
      <c r="I121" s="52" t="n"/>
      <c r="J121" s="26" t="n"/>
      <c r="K121" s="26" t="n"/>
      <c r="L121" s="59" t="str">
        <f>IF(tblActions[[#This Row],[Date]]="","","Q"&amp;(INT(MOD(MONTH(tblActions[[#This Row],[Date]])-StartMonth,12)/3)+1))</f>
        <v/>
      </c>
      <c r="M121"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21" s="54" t="str">
        <f>IF(tblActions[[#This Row],[Timing Flag]]="Overdue",AsOf-tblActions[[#This Row],[Date]],"")</f>
        <v/>
      </c>
    </row>
    <row r="122">
      <c r="A122" s="52" t="n"/>
      <c r="B122" s="53" t="n"/>
      <c r="C122" s="26" t="n"/>
      <c r="D122" s="26" t="n"/>
      <c r="E122" s="52" t="n"/>
      <c r="F122" s="52" t="n"/>
      <c r="G122" s="52" t="n"/>
      <c r="H122" s="52" t="n"/>
      <c r="I122" s="52" t="n"/>
      <c r="J122" s="26" t="n"/>
      <c r="K122" s="26" t="n"/>
      <c r="L122" s="59" t="str">
        <f>IF(tblActions[[#This Row],[Date]]="","","Q"&amp;(INT(MOD(MONTH(tblActions[[#This Row],[Date]])-StartMonth,12)/3)+1))</f>
        <v/>
      </c>
      <c r="M122"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22" s="54" t="str">
        <f>IF(tblActions[[#This Row],[Timing Flag]]="Overdue",AsOf-tblActions[[#This Row],[Date]],"")</f>
        <v/>
      </c>
    </row>
    <row r="123">
      <c r="A123" s="52" t="n"/>
      <c r="B123" s="53" t="n"/>
      <c r="C123" s="26" t="n"/>
      <c r="D123" s="26" t="n"/>
      <c r="E123" s="52" t="n"/>
      <c r="F123" s="52" t="n"/>
      <c r="G123" s="52" t="n"/>
      <c r="H123" s="52" t="n"/>
      <c r="I123" s="52" t="n"/>
      <c r="J123" s="26" t="n"/>
      <c r="K123" s="26" t="n"/>
      <c r="L123" s="59" t="str">
        <f>IF(tblActions[[#This Row],[Date]]="","","Q"&amp;(INT(MOD(MONTH(tblActions[[#This Row],[Date]])-StartMonth,12)/3)+1))</f>
        <v/>
      </c>
      <c r="M123"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23" s="54" t="str">
        <f>IF(tblActions[[#This Row],[Timing Flag]]="Overdue",AsOf-tblActions[[#This Row],[Date]],"")</f>
        <v/>
      </c>
    </row>
    <row r="124">
      <c r="A124" s="52" t="n"/>
      <c r="B124" s="53" t="n"/>
      <c r="C124" s="26" t="n"/>
      <c r="D124" s="26" t="n"/>
      <c r="E124" s="52" t="n"/>
      <c r="F124" s="52" t="n"/>
      <c r="G124" s="52" t="n"/>
      <c r="H124" s="52" t="n"/>
      <c r="I124" s="52" t="n"/>
      <c r="J124" s="26" t="n"/>
      <c r="K124" s="26" t="n"/>
      <c r="L124" s="59" t="str">
        <f>IF(tblActions[[#This Row],[Date]]="","","Q"&amp;(INT(MOD(MONTH(tblActions[[#This Row],[Date]])-StartMonth,12)/3)+1))</f>
        <v/>
      </c>
      <c r="M124"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24" s="54" t="str">
        <f>IF(tblActions[[#This Row],[Timing Flag]]="Overdue",AsOf-tblActions[[#This Row],[Date]],"")</f>
        <v/>
      </c>
    </row>
    <row r="125">
      <c r="A125" s="52" t="n"/>
      <c r="B125" s="53" t="n"/>
      <c r="C125" s="26" t="n"/>
      <c r="D125" s="26" t="n"/>
      <c r="E125" s="52" t="n"/>
      <c r="F125" s="52" t="n"/>
      <c r="G125" s="52" t="n"/>
      <c r="H125" s="52" t="n"/>
      <c r="I125" s="52" t="n"/>
      <c r="J125" s="26" t="n"/>
      <c r="K125" s="26" t="n"/>
      <c r="L125" s="59" t="str">
        <f>IF(tblActions[[#This Row],[Date]]="","","Q"&amp;(INT(MOD(MONTH(tblActions[[#This Row],[Date]])-StartMonth,12)/3)+1))</f>
        <v/>
      </c>
      <c r="M125" s="56"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125" s="54" t="str">
        <f>IF(tblActions[[#This Row],[Timing Flag]]="Overdue",AsOf-tblActions[[#This Row],[Date]],"")</f>
        <v/>
      </c>
    </row>
  </sheetData>
  <conditionalFormatting sqref="M6:M125">
    <cfRule type="cellIs" priority="1" operator="equal" dxfId="4">
      <formula>"Overdue"</formula>
    </cfRule>
    <cfRule type="cellIs" priority="2" operator="equal" dxfId="3">
      <formula>"Due Within 7 Days"</formula>
    </cfRule>
    <cfRule type="cellIs" priority="3" operator="equal" dxfId="1">
      <formula>"Done"</formula>
    </cfRule>
  </conditionalFormatting>
  <conditionalFormatting sqref="I6:I125">
    <cfRule type="cellIs" priority="4" operator="equal" dxfId="2">
      <formula>"Complete"</formula>
    </cfRule>
    <cfRule type="cellIs" priority="5" operator="equal" dxfId="6">
      <formula>"Deferred"</formula>
    </cfRule>
    <cfRule type="cellIs" priority="6" operator="equal" dxfId="6">
      <formula>"Cancelled"</formula>
    </cfRule>
  </conditionalFormatting>
  <dataValidations count="7">
    <dataValidation sqref="B6:B125" showDropDown="0" showInputMessage="0" showErrorMessage="1" allowBlank="1" errorTitle="Enter a date" error="Enter a valid date, for example 4/15/2027." type="date" errorStyle="stop" operator="greaterThanOrEqual">
      <formula1>36526</formula1>
    </dataValidation>
    <dataValidation sqref="C6:C125" showDropDown="0" showInputMessage="0" showErrorMessage="1" allowBlank="1" errorTitle="Choose from the list" error="Pick a value from the dropdown. Edit the lists on the Lists sheet." type="list" errorStyle="stop">
      <formula1>=lstActionType</formula1>
    </dataValidation>
    <dataValidation sqref="E6:E125" showDropDown="0" showInputMessage="0" showErrorMessage="1" allowBlank="1" errorTitle="Choose from the list" error="Pick a value from the dropdown. Edit the lists on the Lists sheet." type="list" errorStyle="stop">
      <formula1>=rngObjIDs</formula1>
    </dataValidation>
    <dataValidation sqref="F6:F125" showDropDown="0" showInputMessage="0" showErrorMessage="1" allowBlank="1" errorTitle="Choose from the list" error="Pick a value from the dropdown. Edit the lists on the Lists sheet." type="list" errorStyle="stop">
      <formula1>=rngRelIDs</formula1>
    </dataValidation>
    <dataValidation sqref="G6:G125" showDropDown="0" showInputMessage="0" showErrorMessage="1" allowBlank="1" errorTitle="Choose from the list" error="Pick a value from the dropdown. Edit the lists on the Lists sheet." type="list" errorStyle="stop">
      <formula1>=rngPriIDs</formula1>
    </dataValidation>
    <dataValidation sqref="H6:H125" showDropDown="0" showInputMessage="0" showErrorMessage="1" allowBlank="1" errorTitle="Name not on the People list" error="This name is not on the People list on the Lists sheet. Add it there, or continue to keep what you typed." type="list" errorStyle="warning">
      <formula1>=lstPeople</formula1>
    </dataValidation>
    <dataValidation sqref="I6:I125" showDropDown="0" showInputMessage="0" showErrorMessage="1" allowBlank="1" errorTitle="Choose from the list" error="Pick a value from the dropdown. Edit the lists on the Lists sheet." type="list" errorStyle="stop">
      <formula1>=lstActionStatus</formula1>
    </dataValidation>
  </dataValidations>
  <pageMargins left="0.5" right="0.5" top="1" bottom="1" header="0.5" footer="0.5"/>
  <pageSetup orientation="landscape" fitToHeight="0" fitToWidth="1"/>
  <headerFooter>
    <oddHeader/>
    <oddFooter>&amp;L&amp;8 Intergov Association | Strategic Plan Tracker&amp;R&amp;8 &amp;A | Page &amp;P of &amp;N</oddFooter>
    <evenHeader/>
    <evenFooter/>
    <firstHeader/>
    <firstFooter/>
  </headerFooter>
  <tableParts count="1">
    <tablePart xmlns:r="http://schemas.openxmlformats.org/officeDocument/2006/relationships" r:id="rId1"/>
  </tableParts>
</worksheet>
</file>

<file path=xl/worksheets/sheet7.xml><?xml version="1.0" encoding="utf-8"?>
<worksheet xmlns="http://schemas.openxmlformats.org/spreadsheetml/2006/main">
  <sheetPr>
    <tabColor rgb="00192E43"/>
    <outlinePr summaryBelow="1" summaryRight="1"/>
    <pageSetUpPr fitToPage="1"/>
  </sheetPr>
  <dimension ref="A1:S85"/>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9" customWidth="1" min="1" max="1"/>
    <col width="44" customWidth="1" min="2" max="2"/>
    <col width="11" customWidth="1" min="3" max="3"/>
    <col width="18" customWidth="1" min="4" max="4"/>
    <col width="16" customWidth="1" min="5" max="5"/>
    <col width="12" customWidth="1" min="6" max="6"/>
    <col width="12" customWidth="1" min="7" max="7"/>
    <col width="12" customWidth="1" min="8" max="8"/>
    <col width="12" customWidth="1" min="9" max="9"/>
    <col width="11" customWidth="1" min="10" max="10"/>
    <col width="9" customWidth="1" min="11" max="11"/>
    <col width="40" customWidth="1" min="12" max="12"/>
    <col width="12" customWidth="1" min="13" max="13"/>
    <col width="8" customWidth="1" min="14" max="14"/>
    <col width="8" customWidth="1" min="15" max="15"/>
    <col width="9" customWidth="1" min="16" max="16"/>
    <col width="18" customWidth="1" min="17" max="17"/>
    <col width="14" customWidth="1" min="18" max="18"/>
    <col width="8" customWidth="1" min="19" max="19"/>
  </cols>
  <sheetData>
    <row r="1">
      <c r="A1" s="45" t="inlineStr">
        <is>
          <t>Milestones and Deadlines</t>
        </is>
      </c>
    </row>
    <row r="2">
      <c r="A2" s="2" t="inlineStr">
        <is>
          <t>Dated results that show whether each objective will land on time. Record schedule moves in Revised Due Date.</t>
        </is>
      </c>
    </row>
    <row r="3">
      <c r="A3" s="18" t="inlineStr">
        <is>
          <t>Navy headers: enter data. Slate headers with gray cells: calculated, do not overwrite. Row 4 (italic) shows the expected format and is not part of the table.</t>
        </is>
      </c>
    </row>
    <row r="4" ht="64" customHeight="1">
      <c r="A4" s="40" t="inlineStr">
        <is>
          <t>MS-001</t>
        </is>
      </c>
      <c r="B4" s="40" t="inlineStr">
        <is>
          <t>Written funding commitment received</t>
        </is>
      </c>
      <c r="C4" s="40" t="inlineStr">
        <is>
          <t>OBJ-3</t>
        </is>
      </c>
      <c r="D4" s="40" t="inlineStr">
        <is>
          <t>Internal Target</t>
        </is>
      </c>
      <c r="E4" s="40" t="inlineStr">
        <is>
          <t>Name</t>
        </is>
      </c>
      <c r="F4" s="46" t="n">
        <v>46598</v>
      </c>
      <c r="G4" s="46" t="inlineStr"/>
      <c r="H4" s="40" t="inlineStr">
        <is>
          <t>Not Started</t>
        </is>
      </c>
      <c r="I4" s="46" t="inlineStr"/>
      <c r="J4" s="40" t="inlineStr">
        <is>
          <t>MS-028</t>
        </is>
      </c>
      <c r="K4" s="40" t="inlineStr">
        <is>
          <t>Yes</t>
        </is>
      </c>
      <c r="L4" s="40" t="inlineStr">
        <is>
          <t>Blockers, assumptions, or what the date depends on.</t>
        </is>
      </c>
      <c r="M4" s="57" t="n"/>
      <c r="N4" s="49" t="n"/>
      <c r="O4" s="47" t="n"/>
      <c r="P4" s="47" t="n"/>
      <c r="Q4" s="49" t="n"/>
      <c r="R4" s="49" t="n"/>
      <c r="S4" s="47" t="n"/>
    </row>
    <row r="5" ht="34" customHeight="1">
      <c r="A5" s="50" t="inlineStr">
        <is>
          <t>ID</t>
        </is>
      </c>
      <c r="B5" s="50" t="inlineStr">
        <is>
          <t>Milestone</t>
        </is>
      </c>
      <c r="C5" s="50" t="inlineStr">
        <is>
          <t>Objective ID</t>
        </is>
      </c>
      <c r="D5" s="50" t="inlineStr">
        <is>
          <t>Type</t>
        </is>
      </c>
      <c r="E5" s="50" t="inlineStr">
        <is>
          <t>Owner</t>
        </is>
      </c>
      <c r="F5" s="50" t="inlineStr">
        <is>
          <t>Due Date</t>
        </is>
      </c>
      <c r="G5" s="50" t="inlineStr">
        <is>
          <t>Revised Due Date</t>
        </is>
      </c>
      <c r="H5" s="50" t="inlineStr">
        <is>
          <t>Status</t>
        </is>
      </c>
      <c r="I5" s="50" t="inlineStr">
        <is>
          <t>Completed Date</t>
        </is>
      </c>
      <c r="J5" s="50" t="inlineStr">
        <is>
          <t>Depends On</t>
        </is>
      </c>
      <c r="K5" s="50" t="inlineStr">
        <is>
          <t>Critical Path</t>
        </is>
      </c>
      <c r="L5" s="50" t="inlineStr">
        <is>
          <t>Notes</t>
        </is>
      </c>
      <c r="M5" s="51" t="inlineStr">
        <is>
          <t>Effective Due</t>
        </is>
      </c>
      <c r="N5" s="51" t="inlineStr">
        <is>
          <t>Quarter</t>
        </is>
      </c>
      <c r="O5" s="51" t="inlineStr">
        <is>
          <t>Slip Days</t>
        </is>
      </c>
      <c r="P5" s="51" t="inlineStr">
        <is>
          <t>Days to Due</t>
        </is>
      </c>
      <c r="Q5" s="51" t="inlineStr">
        <is>
          <t>Schedule Flag</t>
        </is>
      </c>
      <c r="R5" s="51" t="inlineStr">
        <is>
          <t>Dependency Status</t>
        </is>
      </c>
      <c r="S5" s="51" t="inlineStr">
        <is>
          <t>Open Rank</t>
        </is>
      </c>
    </row>
    <row r="6">
      <c r="A6" s="52" t="n"/>
      <c r="B6" s="26" t="n"/>
      <c r="C6" s="52" t="n"/>
      <c r="D6" s="26" t="n"/>
      <c r="E6" s="52" t="n"/>
      <c r="F6" s="53" t="n"/>
      <c r="G6" s="53" t="n"/>
      <c r="H6" s="52" t="n"/>
      <c r="I6" s="53" t="n"/>
      <c r="J6" s="52" t="n"/>
      <c r="K6" s="60" t="n"/>
      <c r="L6" s="26" t="n"/>
      <c r="M6" s="58" t="str">
        <f>IF(AND(tblMilestones[[#This Row],[Due Date]]="",tblMilestones[[#This Row],[Revised Due Date]]=""),"",IF(tblMilestones[[#This Row],[Revised Due Date]]&lt;&gt;"",tblMilestones[[#This Row],[Revised Due Date]],tblMilestones[[#This Row],[Due Date]]))</f>
        <v/>
      </c>
      <c r="N6" s="59" t="str">
        <f>IF(tblMilestones[[#This Row],[Effective Due]]="","","Q"&amp;(INT(MOD(MONTH(tblMilestones[[#This Row],[Effective Due]])-StartMonth,12)/3)+1))</f>
        <v/>
      </c>
      <c r="O6" s="54" t="str">
        <f>IF(OR(tblMilestones[[#This Row],[Revised Due Date]]="",tblMilestones[[#This Row],[Due Date]]=""),"",tblMilestones[[#This Row],[Revised Due Date]]-tblMilestones[[#This Row],[Due Date]])</f>
        <v/>
      </c>
      <c r="P6" s="54" t="str">
        <f>IF(OR(tblMilestones[[#This Row],[Effective Due]]="",tblMilestones[[#This Row],[Status]]="Complete"),"",tblMilestones[[#This Row],[Effective Due]]-AsOf)</f>
        <v/>
      </c>
      <c r="Q6"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6" s="56" t="str">
        <f>IF(tblMilestones[[#This Row],[Depends On]]="","",IFERROR(INDEX(tblMilestones[Status],MATCH(tblMilestones[[#This Row],[Depends On]],tblMilestones[ID],0)),"Not Found"))</f>
        <v/>
      </c>
      <c r="S6"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7">
      <c r="A7" s="52" t="n"/>
      <c r="B7" s="26" t="n"/>
      <c r="C7" s="52" t="n"/>
      <c r="D7" s="26" t="n"/>
      <c r="E7" s="52" t="n"/>
      <c r="F7" s="53" t="n"/>
      <c r="G7" s="53" t="n"/>
      <c r="H7" s="52" t="n"/>
      <c r="I7" s="53" t="n"/>
      <c r="J7" s="52" t="n"/>
      <c r="K7" s="60" t="n"/>
      <c r="L7" s="26" t="n"/>
      <c r="M7" s="58" t="str">
        <f>IF(AND(tblMilestones[[#This Row],[Due Date]]="",tblMilestones[[#This Row],[Revised Due Date]]=""),"",IF(tblMilestones[[#This Row],[Revised Due Date]]&lt;&gt;"",tblMilestones[[#This Row],[Revised Due Date]],tblMilestones[[#This Row],[Due Date]]))</f>
        <v/>
      </c>
      <c r="N7" s="59" t="str">
        <f>IF(tblMilestones[[#This Row],[Effective Due]]="","","Q"&amp;(INT(MOD(MONTH(tblMilestones[[#This Row],[Effective Due]])-StartMonth,12)/3)+1))</f>
        <v/>
      </c>
      <c r="O7" s="54" t="str">
        <f>IF(OR(tblMilestones[[#This Row],[Revised Due Date]]="",tblMilestones[[#This Row],[Due Date]]=""),"",tblMilestones[[#This Row],[Revised Due Date]]-tblMilestones[[#This Row],[Due Date]])</f>
        <v/>
      </c>
      <c r="P7" s="54" t="str">
        <f>IF(OR(tblMilestones[[#This Row],[Effective Due]]="",tblMilestones[[#This Row],[Status]]="Complete"),"",tblMilestones[[#This Row],[Effective Due]]-AsOf)</f>
        <v/>
      </c>
      <c r="Q7"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7" s="56" t="str">
        <f>IF(tblMilestones[[#This Row],[Depends On]]="","",IFERROR(INDEX(tblMilestones[Status],MATCH(tblMilestones[[#This Row],[Depends On]],tblMilestones[ID],0)),"Not Found"))</f>
        <v/>
      </c>
      <c r="S7"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8">
      <c r="A8" s="52" t="n"/>
      <c r="B8" s="26" t="n"/>
      <c r="C8" s="52" t="n"/>
      <c r="D8" s="26" t="n"/>
      <c r="E8" s="52" t="n"/>
      <c r="F8" s="53" t="n"/>
      <c r="G8" s="53" t="n"/>
      <c r="H8" s="52" t="n"/>
      <c r="I8" s="53" t="n"/>
      <c r="J8" s="52" t="n"/>
      <c r="K8" s="60" t="n"/>
      <c r="L8" s="26" t="n"/>
      <c r="M8" s="58" t="str">
        <f>IF(AND(tblMilestones[[#This Row],[Due Date]]="",tblMilestones[[#This Row],[Revised Due Date]]=""),"",IF(tblMilestones[[#This Row],[Revised Due Date]]&lt;&gt;"",tblMilestones[[#This Row],[Revised Due Date]],tblMilestones[[#This Row],[Due Date]]))</f>
        <v/>
      </c>
      <c r="N8" s="59" t="str">
        <f>IF(tblMilestones[[#This Row],[Effective Due]]="","","Q"&amp;(INT(MOD(MONTH(tblMilestones[[#This Row],[Effective Due]])-StartMonth,12)/3)+1))</f>
        <v/>
      </c>
      <c r="O8" s="54" t="str">
        <f>IF(OR(tblMilestones[[#This Row],[Revised Due Date]]="",tblMilestones[[#This Row],[Due Date]]=""),"",tblMilestones[[#This Row],[Revised Due Date]]-tblMilestones[[#This Row],[Due Date]])</f>
        <v/>
      </c>
      <c r="P8" s="54" t="str">
        <f>IF(OR(tblMilestones[[#This Row],[Effective Due]]="",tblMilestones[[#This Row],[Status]]="Complete"),"",tblMilestones[[#This Row],[Effective Due]]-AsOf)</f>
        <v/>
      </c>
      <c r="Q8"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8" s="56" t="str">
        <f>IF(tblMilestones[[#This Row],[Depends On]]="","",IFERROR(INDEX(tblMilestones[Status],MATCH(tblMilestones[[#This Row],[Depends On]],tblMilestones[ID],0)),"Not Found"))</f>
        <v/>
      </c>
      <c r="S8"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9">
      <c r="A9" s="52" t="n"/>
      <c r="B9" s="26" t="n"/>
      <c r="C9" s="52" t="n"/>
      <c r="D9" s="26" t="n"/>
      <c r="E9" s="52" t="n"/>
      <c r="F9" s="53" t="n"/>
      <c r="G9" s="53" t="n"/>
      <c r="H9" s="52" t="n"/>
      <c r="I9" s="53" t="n"/>
      <c r="J9" s="52" t="n"/>
      <c r="K9" s="60" t="n"/>
      <c r="L9" s="26" t="n"/>
      <c r="M9" s="58" t="str">
        <f>IF(AND(tblMilestones[[#This Row],[Due Date]]="",tblMilestones[[#This Row],[Revised Due Date]]=""),"",IF(tblMilestones[[#This Row],[Revised Due Date]]&lt;&gt;"",tblMilestones[[#This Row],[Revised Due Date]],tblMilestones[[#This Row],[Due Date]]))</f>
        <v/>
      </c>
      <c r="N9" s="59" t="str">
        <f>IF(tblMilestones[[#This Row],[Effective Due]]="","","Q"&amp;(INT(MOD(MONTH(tblMilestones[[#This Row],[Effective Due]])-StartMonth,12)/3)+1))</f>
        <v/>
      </c>
      <c r="O9" s="54" t="str">
        <f>IF(OR(tblMilestones[[#This Row],[Revised Due Date]]="",tblMilestones[[#This Row],[Due Date]]=""),"",tblMilestones[[#This Row],[Revised Due Date]]-tblMilestones[[#This Row],[Due Date]])</f>
        <v/>
      </c>
      <c r="P9" s="54" t="str">
        <f>IF(OR(tblMilestones[[#This Row],[Effective Due]]="",tblMilestones[[#This Row],[Status]]="Complete"),"",tblMilestones[[#This Row],[Effective Due]]-AsOf)</f>
        <v/>
      </c>
      <c r="Q9"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9" s="56" t="str">
        <f>IF(tblMilestones[[#This Row],[Depends On]]="","",IFERROR(INDEX(tblMilestones[Status],MATCH(tblMilestones[[#This Row],[Depends On]],tblMilestones[ID],0)),"Not Found"))</f>
        <v/>
      </c>
      <c r="S9"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10">
      <c r="A10" s="52" t="n"/>
      <c r="B10" s="26" t="n"/>
      <c r="C10" s="52" t="n"/>
      <c r="D10" s="26" t="n"/>
      <c r="E10" s="52" t="n"/>
      <c r="F10" s="53" t="n"/>
      <c r="G10" s="53" t="n"/>
      <c r="H10" s="52" t="n"/>
      <c r="I10" s="53" t="n"/>
      <c r="J10" s="52" t="n"/>
      <c r="K10" s="60" t="n"/>
      <c r="L10" s="26" t="n"/>
      <c r="M10" s="58" t="str">
        <f>IF(AND(tblMilestones[[#This Row],[Due Date]]="",tblMilestones[[#This Row],[Revised Due Date]]=""),"",IF(tblMilestones[[#This Row],[Revised Due Date]]&lt;&gt;"",tblMilestones[[#This Row],[Revised Due Date]],tblMilestones[[#This Row],[Due Date]]))</f>
        <v/>
      </c>
      <c r="N10" s="59" t="str">
        <f>IF(tblMilestones[[#This Row],[Effective Due]]="","","Q"&amp;(INT(MOD(MONTH(tblMilestones[[#This Row],[Effective Due]])-StartMonth,12)/3)+1))</f>
        <v/>
      </c>
      <c r="O10" s="54" t="str">
        <f>IF(OR(tblMilestones[[#This Row],[Revised Due Date]]="",tblMilestones[[#This Row],[Due Date]]=""),"",tblMilestones[[#This Row],[Revised Due Date]]-tblMilestones[[#This Row],[Due Date]])</f>
        <v/>
      </c>
      <c r="P10" s="54" t="str">
        <f>IF(OR(tblMilestones[[#This Row],[Effective Due]]="",tblMilestones[[#This Row],[Status]]="Complete"),"",tblMilestones[[#This Row],[Effective Due]]-AsOf)</f>
        <v/>
      </c>
      <c r="Q10"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10" s="56" t="str">
        <f>IF(tblMilestones[[#This Row],[Depends On]]="","",IFERROR(INDEX(tblMilestones[Status],MATCH(tblMilestones[[#This Row],[Depends On]],tblMilestones[ID],0)),"Not Found"))</f>
        <v/>
      </c>
      <c r="S10"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11">
      <c r="A11" s="52" t="n"/>
      <c r="B11" s="26" t="n"/>
      <c r="C11" s="52" t="n"/>
      <c r="D11" s="26" t="n"/>
      <c r="E11" s="52" t="n"/>
      <c r="F11" s="53" t="n"/>
      <c r="G11" s="53" t="n"/>
      <c r="H11" s="52" t="n"/>
      <c r="I11" s="53" t="n"/>
      <c r="J11" s="52" t="n"/>
      <c r="K11" s="60" t="n"/>
      <c r="L11" s="26" t="n"/>
      <c r="M11" s="58" t="str">
        <f>IF(AND(tblMilestones[[#This Row],[Due Date]]="",tblMilestones[[#This Row],[Revised Due Date]]=""),"",IF(tblMilestones[[#This Row],[Revised Due Date]]&lt;&gt;"",tblMilestones[[#This Row],[Revised Due Date]],tblMilestones[[#This Row],[Due Date]]))</f>
        <v/>
      </c>
      <c r="N11" s="59" t="str">
        <f>IF(tblMilestones[[#This Row],[Effective Due]]="","","Q"&amp;(INT(MOD(MONTH(tblMilestones[[#This Row],[Effective Due]])-StartMonth,12)/3)+1))</f>
        <v/>
      </c>
      <c r="O11" s="54" t="str">
        <f>IF(OR(tblMilestones[[#This Row],[Revised Due Date]]="",tblMilestones[[#This Row],[Due Date]]=""),"",tblMilestones[[#This Row],[Revised Due Date]]-tblMilestones[[#This Row],[Due Date]])</f>
        <v/>
      </c>
      <c r="P11" s="54" t="str">
        <f>IF(OR(tblMilestones[[#This Row],[Effective Due]]="",tblMilestones[[#This Row],[Status]]="Complete"),"",tblMilestones[[#This Row],[Effective Due]]-AsOf)</f>
        <v/>
      </c>
      <c r="Q11"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11" s="56" t="str">
        <f>IF(tblMilestones[[#This Row],[Depends On]]="","",IFERROR(INDEX(tblMilestones[Status],MATCH(tblMilestones[[#This Row],[Depends On]],tblMilestones[ID],0)),"Not Found"))</f>
        <v/>
      </c>
      <c r="S11"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12">
      <c r="A12" s="52" t="n"/>
      <c r="B12" s="26" t="n"/>
      <c r="C12" s="52" t="n"/>
      <c r="D12" s="26" t="n"/>
      <c r="E12" s="52" t="n"/>
      <c r="F12" s="53" t="n"/>
      <c r="G12" s="53" t="n"/>
      <c r="H12" s="52" t="n"/>
      <c r="I12" s="53" t="n"/>
      <c r="J12" s="52" t="n"/>
      <c r="K12" s="60" t="n"/>
      <c r="L12" s="26" t="n"/>
      <c r="M12" s="58" t="str">
        <f>IF(AND(tblMilestones[[#This Row],[Due Date]]="",tblMilestones[[#This Row],[Revised Due Date]]=""),"",IF(tblMilestones[[#This Row],[Revised Due Date]]&lt;&gt;"",tblMilestones[[#This Row],[Revised Due Date]],tblMilestones[[#This Row],[Due Date]]))</f>
        <v/>
      </c>
      <c r="N12" s="59" t="str">
        <f>IF(tblMilestones[[#This Row],[Effective Due]]="","","Q"&amp;(INT(MOD(MONTH(tblMilestones[[#This Row],[Effective Due]])-StartMonth,12)/3)+1))</f>
        <v/>
      </c>
      <c r="O12" s="54" t="str">
        <f>IF(OR(tblMilestones[[#This Row],[Revised Due Date]]="",tblMilestones[[#This Row],[Due Date]]=""),"",tblMilestones[[#This Row],[Revised Due Date]]-tblMilestones[[#This Row],[Due Date]])</f>
        <v/>
      </c>
      <c r="P12" s="54" t="str">
        <f>IF(OR(tblMilestones[[#This Row],[Effective Due]]="",tblMilestones[[#This Row],[Status]]="Complete"),"",tblMilestones[[#This Row],[Effective Due]]-AsOf)</f>
        <v/>
      </c>
      <c r="Q12"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12" s="56" t="str">
        <f>IF(tblMilestones[[#This Row],[Depends On]]="","",IFERROR(INDEX(tblMilestones[Status],MATCH(tblMilestones[[#This Row],[Depends On]],tblMilestones[ID],0)),"Not Found"))</f>
        <v/>
      </c>
      <c r="S12"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13">
      <c r="A13" s="52" t="n"/>
      <c r="B13" s="26" t="n"/>
      <c r="C13" s="52" t="n"/>
      <c r="D13" s="26" t="n"/>
      <c r="E13" s="52" t="n"/>
      <c r="F13" s="53" t="n"/>
      <c r="G13" s="53" t="n"/>
      <c r="H13" s="52" t="n"/>
      <c r="I13" s="53" t="n"/>
      <c r="J13" s="52" t="n"/>
      <c r="K13" s="60" t="n"/>
      <c r="L13" s="26" t="n"/>
      <c r="M13" s="58" t="str">
        <f>IF(AND(tblMilestones[[#This Row],[Due Date]]="",tblMilestones[[#This Row],[Revised Due Date]]=""),"",IF(tblMilestones[[#This Row],[Revised Due Date]]&lt;&gt;"",tblMilestones[[#This Row],[Revised Due Date]],tblMilestones[[#This Row],[Due Date]]))</f>
        <v/>
      </c>
      <c r="N13" s="59" t="str">
        <f>IF(tblMilestones[[#This Row],[Effective Due]]="","","Q"&amp;(INT(MOD(MONTH(tblMilestones[[#This Row],[Effective Due]])-StartMonth,12)/3)+1))</f>
        <v/>
      </c>
      <c r="O13" s="54" t="str">
        <f>IF(OR(tblMilestones[[#This Row],[Revised Due Date]]="",tblMilestones[[#This Row],[Due Date]]=""),"",tblMilestones[[#This Row],[Revised Due Date]]-tblMilestones[[#This Row],[Due Date]])</f>
        <v/>
      </c>
      <c r="P13" s="54" t="str">
        <f>IF(OR(tblMilestones[[#This Row],[Effective Due]]="",tblMilestones[[#This Row],[Status]]="Complete"),"",tblMilestones[[#This Row],[Effective Due]]-AsOf)</f>
        <v/>
      </c>
      <c r="Q13"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13" s="56" t="str">
        <f>IF(tblMilestones[[#This Row],[Depends On]]="","",IFERROR(INDEX(tblMilestones[Status],MATCH(tblMilestones[[#This Row],[Depends On]],tblMilestones[ID],0)),"Not Found"))</f>
        <v/>
      </c>
      <c r="S13"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14">
      <c r="A14" s="52" t="n"/>
      <c r="B14" s="26" t="n"/>
      <c r="C14" s="52" t="n"/>
      <c r="D14" s="26" t="n"/>
      <c r="E14" s="52" t="n"/>
      <c r="F14" s="53" t="n"/>
      <c r="G14" s="53" t="n"/>
      <c r="H14" s="52" t="n"/>
      <c r="I14" s="53" t="n"/>
      <c r="J14" s="52" t="n"/>
      <c r="K14" s="60" t="n"/>
      <c r="L14" s="26" t="n"/>
      <c r="M14" s="58" t="str">
        <f>IF(AND(tblMilestones[[#This Row],[Due Date]]="",tblMilestones[[#This Row],[Revised Due Date]]=""),"",IF(tblMilestones[[#This Row],[Revised Due Date]]&lt;&gt;"",tblMilestones[[#This Row],[Revised Due Date]],tblMilestones[[#This Row],[Due Date]]))</f>
        <v/>
      </c>
      <c r="N14" s="59" t="str">
        <f>IF(tblMilestones[[#This Row],[Effective Due]]="","","Q"&amp;(INT(MOD(MONTH(tblMilestones[[#This Row],[Effective Due]])-StartMonth,12)/3)+1))</f>
        <v/>
      </c>
      <c r="O14" s="54" t="str">
        <f>IF(OR(tblMilestones[[#This Row],[Revised Due Date]]="",tblMilestones[[#This Row],[Due Date]]=""),"",tblMilestones[[#This Row],[Revised Due Date]]-tblMilestones[[#This Row],[Due Date]])</f>
        <v/>
      </c>
      <c r="P14" s="54" t="str">
        <f>IF(OR(tblMilestones[[#This Row],[Effective Due]]="",tblMilestones[[#This Row],[Status]]="Complete"),"",tblMilestones[[#This Row],[Effective Due]]-AsOf)</f>
        <v/>
      </c>
      <c r="Q14"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14" s="56" t="str">
        <f>IF(tblMilestones[[#This Row],[Depends On]]="","",IFERROR(INDEX(tblMilestones[Status],MATCH(tblMilestones[[#This Row],[Depends On]],tblMilestones[ID],0)),"Not Found"))</f>
        <v/>
      </c>
      <c r="S14"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15">
      <c r="A15" s="52" t="n"/>
      <c r="B15" s="26" t="n"/>
      <c r="C15" s="52" t="n"/>
      <c r="D15" s="26" t="n"/>
      <c r="E15" s="52" t="n"/>
      <c r="F15" s="53" t="n"/>
      <c r="G15" s="53" t="n"/>
      <c r="H15" s="52" t="n"/>
      <c r="I15" s="53" t="n"/>
      <c r="J15" s="52" t="n"/>
      <c r="K15" s="60" t="n"/>
      <c r="L15" s="26" t="n"/>
      <c r="M15" s="58" t="str">
        <f>IF(AND(tblMilestones[[#This Row],[Due Date]]="",tblMilestones[[#This Row],[Revised Due Date]]=""),"",IF(tblMilestones[[#This Row],[Revised Due Date]]&lt;&gt;"",tblMilestones[[#This Row],[Revised Due Date]],tblMilestones[[#This Row],[Due Date]]))</f>
        <v/>
      </c>
      <c r="N15" s="59" t="str">
        <f>IF(tblMilestones[[#This Row],[Effective Due]]="","","Q"&amp;(INT(MOD(MONTH(tblMilestones[[#This Row],[Effective Due]])-StartMonth,12)/3)+1))</f>
        <v/>
      </c>
      <c r="O15" s="54" t="str">
        <f>IF(OR(tblMilestones[[#This Row],[Revised Due Date]]="",tblMilestones[[#This Row],[Due Date]]=""),"",tblMilestones[[#This Row],[Revised Due Date]]-tblMilestones[[#This Row],[Due Date]])</f>
        <v/>
      </c>
      <c r="P15" s="54" t="str">
        <f>IF(OR(tblMilestones[[#This Row],[Effective Due]]="",tblMilestones[[#This Row],[Status]]="Complete"),"",tblMilestones[[#This Row],[Effective Due]]-AsOf)</f>
        <v/>
      </c>
      <c r="Q15"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15" s="56" t="str">
        <f>IF(tblMilestones[[#This Row],[Depends On]]="","",IFERROR(INDEX(tblMilestones[Status],MATCH(tblMilestones[[#This Row],[Depends On]],tblMilestones[ID],0)),"Not Found"))</f>
        <v/>
      </c>
      <c r="S15"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16">
      <c r="A16" s="52" t="n"/>
      <c r="B16" s="26" t="n"/>
      <c r="C16" s="52" t="n"/>
      <c r="D16" s="26" t="n"/>
      <c r="E16" s="52" t="n"/>
      <c r="F16" s="53" t="n"/>
      <c r="G16" s="53" t="n"/>
      <c r="H16" s="52" t="n"/>
      <c r="I16" s="53" t="n"/>
      <c r="J16" s="52" t="n"/>
      <c r="K16" s="60" t="n"/>
      <c r="L16" s="26" t="n"/>
      <c r="M16" s="58" t="str">
        <f>IF(AND(tblMilestones[[#This Row],[Due Date]]="",tblMilestones[[#This Row],[Revised Due Date]]=""),"",IF(tblMilestones[[#This Row],[Revised Due Date]]&lt;&gt;"",tblMilestones[[#This Row],[Revised Due Date]],tblMilestones[[#This Row],[Due Date]]))</f>
        <v/>
      </c>
      <c r="N16" s="59" t="str">
        <f>IF(tblMilestones[[#This Row],[Effective Due]]="","","Q"&amp;(INT(MOD(MONTH(tblMilestones[[#This Row],[Effective Due]])-StartMonth,12)/3)+1))</f>
        <v/>
      </c>
      <c r="O16" s="54" t="str">
        <f>IF(OR(tblMilestones[[#This Row],[Revised Due Date]]="",tblMilestones[[#This Row],[Due Date]]=""),"",tblMilestones[[#This Row],[Revised Due Date]]-tblMilestones[[#This Row],[Due Date]])</f>
        <v/>
      </c>
      <c r="P16" s="54" t="str">
        <f>IF(OR(tblMilestones[[#This Row],[Effective Due]]="",tblMilestones[[#This Row],[Status]]="Complete"),"",tblMilestones[[#This Row],[Effective Due]]-AsOf)</f>
        <v/>
      </c>
      <c r="Q16"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16" s="56" t="str">
        <f>IF(tblMilestones[[#This Row],[Depends On]]="","",IFERROR(INDEX(tblMilestones[Status],MATCH(tblMilestones[[#This Row],[Depends On]],tblMilestones[ID],0)),"Not Found"))</f>
        <v/>
      </c>
      <c r="S16"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17">
      <c r="A17" s="52" t="n"/>
      <c r="B17" s="26" t="n"/>
      <c r="C17" s="52" t="n"/>
      <c r="D17" s="26" t="n"/>
      <c r="E17" s="52" t="n"/>
      <c r="F17" s="53" t="n"/>
      <c r="G17" s="53" t="n"/>
      <c r="H17" s="52" t="n"/>
      <c r="I17" s="53" t="n"/>
      <c r="J17" s="52" t="n"/>
      <c r="K17" s="60" t="n"/>
      <c r="L17" s="26" t="n"/>
      <c r="M17" s="58" t="str">
        <f>IF(AND(tblMilestones[[#This Row],[Due Date]]="",tblMilestones[[#This Row],[Revised Due Date]]=""),"",IF(tblMilestones[[#This Row],[Revised Due Date]]&lt;&gt;"",tblMilestones[[#This Row],[Revised Due Date]],tblMilestones[[#This Row],[Due Date]]))</f>
        <v/>
      </c>
      <c r="N17" s="59" t="str">
        <f>IF(tblMilestones[[#This Row],[Effective Due]]="","","Q"&amp;(INT(MOD(MONTH(tblMilestones[[#This Row],[Effective Due]])-StartMonth,12)/3)+1))</f>
        <v/>
      </c>
      <c r="O17" s="54" t="str">
        <f>IF(OR(tblMilestones[[#This Row],[Revised Due Date]]="",tblMilestones[[#This Row],[Due Date]]=""),"",tblMilestones[[#This Row],[Revised Due Date]]-tblMilestones[[#This Row],[Due Date]])</f>
        <v/>
      </c>
      <c r="P17" s="54" t="str">
        <f>IF(OR(tblMilestones[[#This Row],[Effective Due]]="",tblMilestones[[#This Row],[Status]]="Complete"),"",tblMilestones[[#This Row],[Effective Due]]-AsOf)</f>
        <v/>
      </c>
      <c r="Q17"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17" s="56" t="str">
        <f>IF(tblMilestones[[#This Row],[Depends On]]="","",IFERROR(INDEX(tblMilestones[Status],MATCH(tblMilestones[[#This Row],[Depends On]],tblMilestones[ID],0)),"Not Found"))</f>
        <v/>
      </c>
      <c r="S17"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18">
      <c r="A18" s="52" t="n"/>
      <c r="B18" s="26" t="n"/>
      <c r="C18" s="52" t="n"/>
      <c r="D18" s="26" t="n"/>
      <c r="E18" s="52" t="n"/>
      <c r="F18" s="53" t="n"/>
      <c r="G18" s="53" t="n"/>
      <c r="H18" s="52" t="n"/>
      <c r="I18" s="53" t="n"/>
      <c r="J18" s="52" t="n"/>
      <c r="K18" s="60" t="n"/>
      <c r="L18" s="26" t="n"/>
      <c r="M18" s="58" t="str">
        <f>IF(AND(tblMilestones[[#This Row],[Due Date]]="",tblMilestones[[#This Row],[Revised Due Date]]=""),"",IF(tblMilestones[[#This Row],[Revised Due Date]]&lt;&gt;"",tblMilestones[[#This Row],[Revised Due Date]],tblMilestones[[#This Row],[Due Date]]))</f>
        <v/>
      </c>
      <c r="N18" s="59" t="str">
        <f>IF(tblMilestones[[#This Row],[Effective Due]]="","","Q"&amp;(INT(MOD(MONTH(tblMilestones[[#This Row],[Effective Due]])-StartMonth,12)/3)+1))</f>
        <v/>
      </c>
      <c r="O18" s="54" t="str">
        <f>IF(OR(tblMilestones[[#This Row],[Revised Due Date]]="",tblMilestones[[#This Row],[Due Date]]=""),"",tblMilestones[[#This Row],[Revised Due Date]]-tblMilestones[[#This Row],[Due Date]])</f>
        <v/>
      </c>
      <c r="P18" s="54" t="str">
        <f>IF(OR(tblMilestones[[#This Row],[Effective Due]]="",tblMilestones[[#This Row],[Status]]="Complete"),"",tblMilestones[[#This Row],[Effective Due]]-AsOf)</f>
        <v/>
      </c>
      <c r="Q18"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18" s="56" t="str">
        <f>IF(tblMilestones[[#This Row],[Depends On]]="","",IFERROR(INDEX(tblMilestones[Status],MATCH(tblMilestones[[#This Row],[Depends On]],tblMilestones[ID],0)),"Not Found"))</f>
        <v/>
      </c>
      <c r="S18"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19">
      <c r="A19" s="52" t="n"/>
      <c r="B19" s="26" t="n"/>
      <c r="C19" s="52" t="n"/>
      <c r="D19" s="26" t="n"/>
      <c r="E19" s="52" t="n"/>
      <c r="F19" s="53" t="n"/>
      <c r="G19" s="53" t="n"/>
      <c r="H19" s="52" t="n"/>
      <c r="I19" s="53" t="n"/>
      <c r="J19" s="52" t="n"/>
      <c r="K19" s="60" t="n"/>
      <c r="L19" s="26" t="n"/>
      <c r="M19" s="58" t="str">
        <f>IF(AND(tblMilestones[[#This Row],[Due Date]]="",tblMilestones[[#This Row],[Revised Due Date]]=""),"",IF(tblMilestones[[#This Row],[Revised Due Date]]&lt;&gt;"",tblMilestones[[#This Row],[Revised Due Date]],tblMilestones[[#This Row],[Due Date]]))</f>
        <v/>
      </c>
      <c r="N19" s="59" t="str">
        <f>IF(tblMilestones[[#This Row],[Effective Due]]="","","Q"&amp;(INT(MOD(MONTH(tblMilestones[[#This Row],[Effective Due]])-StartMonth,12)/3)+1))</f>
        <v/>
      </c>
      <c r="O19" s="54" t="str">
        <f>IF(OR(tblMilestones[[#This Row],[Revised Due Date]]="",tblMilestones[[#This Row],[Due Date]]=""),"",tblMilestones[[#This Row],[Revised Due Date]]-tblMilestones[[#This Row],[Due Date]])</f>
        <v/>
      </c>
      <c r="P19" s="54" t="str">
        <f>IF(OR(tblMilestones[[#This Row],[Effective Due]]="",tblMilestones[[#This Row],[Status]]="Complete"),"",tblMilestones[[#This Row],[Effective Due]]-AsOf)</f>
        <v/>
      </c>
      <c r="Q19"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19" s="56" t="str">
        <f>IF(tblMilestones[[#This Row],[Depends On]]="","",IFERROR(INDEX(tblMilestones[Status],MATCH(tblMilestones[[#This Row],[Depends On]],tblMilestones[ID],0)),"Not Found"))</f>
        <v/>
      </c>
      <c r="S19"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20">
      <c r="A20" s="52" t="n"/>
      <c r="B20" s="26" t="n"/>
      <c r="C20" s="52" t="n"/>
      <c r="D20" s="26" t="n"/>
      <c r="E20" s="52" t="n"/>
      <c r="F20" s="53" t="n"/>
      <c r="G20" s="53" t="n"/>
      <c r="H20" s="52" t="n"/>
      <c r="I20" s="53" t="n"/>
      <c r="J20" s="52" t="n"/>
      <c r="K20" s="60" t="n"/>
      <c r="L20" s="26" t="n"/>
      <c r="M20" s="58" t="str">
        <f>IF(AND(tblMilestones[[#This Row],[Due Date]]="",tblMilestones[[#This Row],[Revised Due Date]]=""),"",IF(tblMilestones[[#This Row],[Revised Due Date]]&lt;&gt;"",tblMilestones[[#This Row],[Revised Due Date]],tblMilestones[[#This Row],[Due Date]]))</f>
        <v/>
      </c>
      <c r="N20" s="59" t="str">
        <f>IF(tblMilestones[[#This Row],[Effective Due]]="","","Q"&amp;(INT(MOD(MONTH(tblMilestones[[#This Row],[Effective Due]])-StartMonth,12)/3)+1))</f>
        <v/>
      </c>
      <c r="O20" s="54" t="str">
        <f>IF(OR(tblMilestones[[#This Row],[Revised Due Date]]="",tblMilestones[[#This Row],[Due Date]]=""),"",tblMilestones[[#This Row],[Revised Due Date]]-tblMilestones[[#This Row],[Due Date]])</f>
        <v/>
      </c>
      <c r="P20" s="54" t="str">
        <f>IF(OR(tblMilestones[[#This Row],[Effective Due]]="",tblMilestones[[#This Row],[Status]]="Complete"),"",tblMilestones[[#This Row],[Effective Due]]-AsOf)</f>
        <v/>
      </c>
      <c r="Q20"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20" s="56" t="str">
        <f>IF(tblMilestones[[#This Row],[Depends On]]="","",IFERROR(INDEX(tblMilestones[Status],MATCH(tblMilestones[[#This Row],[Depends On]],tblMilestones[ID],0)),"Not Found"))</f>
        <v/>
      </c>
      <c r="S20"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21">
      <c r="A21" s="52" t="n"/>
      <c r="B21" s="26" t="n"/>
      <c r="C21" s="52" t="n"/>
      <c r="D21" s="26" t="n"/>
      <c r="E21" s="52" t="n"/>
      <c r="F21" s="53" t="n"/>
      <c r="G21" s="53" t="n"/>
      <c r="H21" s="52" t="n"/>
      <c r="I21" s="53" t="n"/>
      <c r="J21" s="52" t="n"/>
      <c r="K21" s="60" t="n"/>
      <c r="L21" s="26" t="n"/>
      <c r="M21" s="58" t="str">
        <f>IF(AND(tblMilestones[[#This Row],[Due Date]]="",tblMilestones[[#This Row],[Revised Due Date]]=""),"",IF(tblMilestones[[#This Row],[Revised Due Date]]&lt;&gt;"",tblMilestones[[#This Row],[Revised Due Date]],tblMilestones[[#This Row],[Due Date]]))</f>
        <v/>
      </c>
      <c r="N21" s="59" t="str">
        <f>IF(tblMilestones[[#This Row],[Effective Due]]="","","Q"&amp;(INT(MOD(MONTH(tblMilestones[[#This Row],[Effective Due]])-StartMonth,12)/3)+1))</f>
        <v/>
      </c>
      <c r="O21" s="54" t="str">
        <f>IF(OR(tblMilestones[[#This Row],[Revised Due Date]]="",tblMilestones[[#This Row],[Due Date]]=""),"",tblMilestones[[#This Row],[Revised Due Date]]-tblMilestones[[#This Row],[Due Date]])</f>
        <v/>
      </c>
      <c r="P21" s="54" t="str">
        <f>IF(OR(tblMilestones[[#This Row],[Effective Due]]="",tblMilestones[[#This Row],[Status]]="Complete"),"",tblMilestones[[#This Row],[Effective Due]]-AsOf)</f>
        <v/>
      </c>
      <c r="Q21"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21" s="56" t="str">
        <f>IF(tblMilestones[[#This Row],[Depends On]]="","",IFERROR(INDEX(tblMilestones[Status],MATCH(tblMilestones[[#This Row],[Depends On]],tblMilestones[ID],0)),"Not Found"))</f>
        <v/>
      </c>
      <c r="S21"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22">
      <c r="A22" s="52" t="n"/>
      <c r="B22" s="26" t="n"/>
      <c r="C22" s="52" t="n"/>
      <c r="D22" s="26" t="n"/>
      <c r="E22" s="52" t="n"/>
      <c r="F22" s="53" t="n"/>
      <c r="G22" s="53" t="n"/>
      <c r="H22" s="52" t="n"/>
      <c r="I22" s="53" t="n"/>
      <c r="J22" s="52" t="n"/>
      <c r="K22" s="60" t="n"/>
      <c r="L22" s="26" t="n"/>
      <c r="M22" s="58" t="str">
        <f>IF(AND(tblMilestones[[#This Row],[Due Date]]="",tblMilestones[[#This Row],[Revised Due Date]]=""),"",IF(tblMilestones[[#This Row],[Revised Due Date]]&lt;&gt;"",tblMilestones[[#This Row],[Revised Due Date]],tblMilestones[[#This Row],[Due Date]]))</f>
        <v/>
      </c>
      <c r="N22" s="59" t="str">
        <f>IF(tblMilestones[[#This Row],[Effective Due]]="","","Q"&amp;(INT(MOD(MONTH(tblMilestones[[#This Row],[Effective Due]])-StartMonth,12)/3)+1))</f>
        <v/>
      </c>
      <c r="O22" s="54" t="str">
        <f>IF(OR(tblMilestones[[#This Row],[Revised Due Date]]="",tblMilestones[[#This Row],[Due Date]]=""),"",tblMilestones[[#This Row],[Revised Due Date]]-tblMilestones[[#This Row],[Due Date]])</f>
        <v/>
      </c>
      <c r="P22" s="54" t="str">
        <f>IF(OR(tblMilestones[[#This Row],[Effective Due]]="",tblMilestones[[#This Row],[Status]]="Complete"),"",tblMilestones[[#This Row],[Effective Due]]-AsOf)</f>
        <v/>
      </c>
      <c r="Q22"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22" s="56" t="str">
        <f>IF(tblMilestones[[#This Row],[Depends On]]="","",IFERROR(INDEX(tblMilestones[Status],MATCH(tblMilestones[[#This Row],[Depends On]],tblMilestones[ID],0)),"Not Found"))</f>
        <v/>
      </c>
      <c r="S22"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23">
      <c r="A23" s="52" t="n"/>
      <c r="B23" s="26" t="n"/>
      <c r="C23" s="52" t="n"/>
      <c r="D23" s="26" t="n"/>
      <c r="E23" s="52" t="n"/>
      <c r="F23" s="53" t="n"/>
      <c r="G23" s="53" t="n"/>
      <c r="H23" s="52" t="n"/>
      <c r="I23" s="53" t="n"/>
      <c r="J23" s="52" t="n"/>
      <c r="K23" s="60" t="n"/>
      <c r="L23" s="26" t="n"/>
      <c r="M23" s="58" t="str">
        <f>IF(AND(tblMilestones[[#This Row],[Due Date]]="",tblMilestones[[#This Row],[Revised Due Date]]=""),"",IF(tblMilestones[[#This Row],[Revised Due Date]]&lt;&gt;"",tblMilestones[[#This Row],[Revised Due Date]],tblMilestones[[#This Row],[Due Date]]))</f>
        <v/>
      </c>
      <c r="N23" s="59" t="str">
        <f>IF(tblMilestones[[#This Row],[Effective Due]]="","","Q"&amp;(INT(MOD(MONTH(tblMilestones[[#This Row],[Effective Due]])-StartMonth,12)/3)+1))</f>
        <v/>
      </c>
      <c r="O23" s="54" t="str">
        <f>IF(OR(tblMilestones[[#This Row],[Revised Due Date]]="",tblMilestones[[#This Row],[Due Date]]=""),"",tblMilestones[[#This Row],[Revised Due Date]]-tblMilestones[[#This Row],[Due Date]])</f>
        <v/>
      </c>
      <c r="P23" s="54" t="str">
        <f>IF(OR(tblMilestones[[#This Row],[Effective Due]]="",tblMilestones[[#This Row],[Status]]="Complete"),"",tblMilestones[[#This Row],[Effective Due]]-AsOf)</f>
        <v/>
      </c>
      <c r="Q23"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23" s="56" t="str">
        <f>IF(tblMilestones[[#This Row],[Depends On]]="","",IFERROR(INDEX(tblMilestones[Status],MATCH(tblMilestones[[#This Row],[Depends On]],tblMilestones[ID],0)),"Not Found"))</f>
        <v/>
      </c>
      <c r="S23"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24">
      <c r="A24" s="52" t="n"/>
      <c r="B24" s="26" t="n"/>
      <c r="C24" s="52" t="n"/>
      <c r="D24" s="26" t="n"/>
      <c r="E24" s="52" t="n"/>
      <c r="F24" s="53" t="n"/>
      <c r="G24" s="53" t="n"/>
      <c r="H24" s="52" t="n"/>
      <c r="I24" s="53" t="n"/>
      <c r="J24" s="52" t="n"/>
      <c r="K24" s="60" t="n"/>
      <c r="L24" s="26" t="n"/>
      <c r="M24" s="58" t="str">
        <f>IF(AND(tblMilestones[[#This Row],[Due Date]]="",tblMilestones[[#This Row],[Revised Due Date]]=""),"",IF(tblMilestones[[#This Row],[Revised Due Date]]&lt;&gt;"",tblMilestones[[#This Row],[Revised Due Date]],tblMilestones[[#This Row],[Due Date]]))</f>
        <v/>
      </c>
      <c r="N24" s="59" t="str">
        <f>IF(tblMilestones[[#This Row],[Effective Due]]="","","Q"&amp;(INT(MOD(MONTH(tblMilestones[[#This Row],[Effective Due]])-StartMonth,12)/3)+1))</f>
        <v/>
      </c>
      <c r="O24" s="54" t="str">
        <f>IF(OR(tblMilestones[[#This Row],[Revised Due Date]]="",tblMilestones[[#This Row],[Due Date]]=""),"",tblMilestones[[#This Row],[Revised Due Date]]-tblMilestones[[#This Row],[Due Date]])</f>
        <v/>
      </c>
      <c r="P24" s="54" t="str">
        <f>IF(OR(tblMilestones[[#This Row],[Effective Due]]="",tblMilestones[[#This Row],[Status]]="Complete"),"",tblMilestones[[#This Row],[Effective Due]]-AsOf)</f>
        <v/>
      </c>
      <c r="Q24"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24" s="56" t="str">
        <f>IF(tblMilestones[[#This Row],[Depends On]]="","",IFERROR(INDEX(tblMilestones[Status],MATCH(tblMilestones[[#This Row],[Depends On]],tblMilestones[ID],0)),"Not Found"))</f>
        <v/>
      </c>
      <c r="S24"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25">
      <c r="A25" s="52" t="n"/>
      <c r="B25" s="26" t="n"/>
      <c r="C25" s="52" t="n"/>
      <c r="D25" s="26" t="n"/>
      <c r="E25" s="52" t="n"/>
      <c r="F25" s="53" t="n"/>
      <c r="G25" s="53" t="n"/>
      <c r="H25" s="52" t="n"/>
      <c r="I25" s="53" t="n"/>
      <c r="J25" s="52" t="n"/>
      <c r="K25" s="60" t="n"/>
      <c r="L25" s="26" t="n"/>
      <c r="M25" s="58" t="str">
        <f>IF(AND(tblMilestones[[#This Row],[Due Date]]="",tblMilestones[[#This Row],[Revised Due Date]]=""),"",IF(tblMilestones[[#This Row],[Revised Due Date]]&lt;&gt;"",tblMilestones[[#This Row],[Revised Due Date]],tblMilestones[[#This Row],[Due Date]]))</f>
        <v/>
      </c>
      <c r="N25" s="59" t="str">
        <f>IF(tblMilestones[[#This Row],[Effective Due]]="","","Q"&amp;(INT(MOD(MONTH(tblMilestones[[#This Row],[Effective Due]])-StartMonth,12)/3)+1))</f>
        <v/>
      </c>
      <c r="O25" s="54" t="str">
        <f>IF(OR(tblMilestones[[#This Row],[Revised Due Date]]="",tblMilestones[[#This Row],[Due Date]]=""),"",tblMilestones[[#This Row],[Revised Due Date]]-tblMilestones[[#This Row],[Due Date]])</f>
        <v/>
      </c>
      <c r="P25" s="54" t="str">
        <f>IF(OR(tblMilestones[[#This Row],[Effective Due]]="",tblMilestones[[#This Row],[Status]]="Complete"),"",tblMilestones[[#This Row],[Effective Due]]-AsOf)</f>
        <v/>
      </c>
      <c r="Q25"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25" s="56" t="str">
        <f>IF(tblMilestones[[#This Row],[Depends On]]="","",IFERROR(INDEX(tblMilestones[Status],MATCH(tblMilestones[[#This Row],[Depends On]],tblMilestones[ID],0)),"Not Found"))</f>
        <v/>
      </c>
      <c r="S25"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26">
      <c r="A26" s="52" t="n"/>
      <c r="B26" s="26" t="n"/>
      <c r="C26" s="52" t="n"/>
      <c r="D26" s="26" t="n"/>
      <c r="E26" s="52" t="n"/>
      <c r="F26" s="53" t="n"/>
      <c r="G26" s="53" t="n"/>
      <c r="H26" s="52" t="n"/>
      <c r="I26" s="53" t="n"/>
      <c r="J26" s="52" t="n"/>
      <c r="K26" s="60" t="n"/>
      <c r="L26" s="26" t="n"/>
      <c r="M26" s="58" t="str">
        <f>IF(AND(tblMilestones[[#This Row],[Due Date]]="",tblMilestones[[#This Row],[Revised Due Date]]=""),"",IF(tblMilestones[[#This Row],[Revised Due Date]]&lt;&gt;"",tblMilestones[[#This Row],[Revised Due Date]],tblMilestones[[#This Row],[Due Date]]))</f>
        <v/>
      </c>
      <c r="N26" s="59" t="str">
        <f>IF(tblMilestones[[#This Row],[Effective Due]]="","","Q"&amp;(INT(MOD(MONTH(tblMilestones[[#This Row],[Effective Due]])-StartMonth,12)/3)+1))</f>
        <v/>
      </c>
      <c r="O26" s="54" t="str">
        <f>IF(OR(tblMilestones[[#This Row],[Revised Due Date]]="",tblMilestones[[#This Row],[Due Date]]=""),"",tblMilestones[[#This Row],[Revised Due Date]]-tblMilestones[[#This Row],[Due Date]])</f>
        <v/>
      </c>
      <c r="P26" s="54" t="str">
        <f>IF(OR(tblMilestones[[#This Row],[Effective Due]]="",tblMilestones[[#This Row],[Status]]="Complete"),"",tblMilestones[[#This Row],[Effective Due]]-AsOf)</f>
        <v/>
      </c>
      <c r="Q26"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26" s="56" t="str">
        <f>IF(tblMilestones[[#This Row],[Depends On]]="","",IFERROR(INDEX(tblMilestones[Status],MATCH(tblMilestones[[#This Row],[Depends On]],tblMilestones[ID],0)),"Not Found"))</f>
        <v/>
      </c>
      <c r="S26"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27">
      <c r="A27" s="52" t="n"/>
      <c r="B27" s="26" t="n"/>
      <c r="C27" s="52" t="n"/>
      <c r="D27" s="26" t="n"/>
      <c r="E27" s="52" t="n"/>
      <c r="F27" s="53" t="n"/>
      <c r="G27" s="53" t="n"/>
      <c r="H27" s="52" t="n"/>
      <c r="I27" s="53" t="n"/>
      <c r="J27" s="52" t="n"/>
      <c r="K27" s="60" t="n"/>
      <c r="L27" s="26" t="n"/>
      <c r="M27" s="58" t="str">
        <f>IF(AND(tblMilestones[[#This Row],[Due Date]]="",tblMilestones[[#This Row],[Revised Due Date]]=""),"",IF(tblMilestones[[#This Row],[Revised Due Date]]&lt;&gt;"",tblMilestones[[#This Row],[Revised Due Date]],tblMilestones[[#This Row],[Due Date]]))</f>
        <v/>
      </c>
      <c r="N27" s="59" t="str">
        <f>IF(tblMilestones[[#This Row],[Effective Due]]="","","Q"&amp;(INT(MOD(MONTH(tblMilestones[[#This Row],[Effective Due]])-StartMonth,12)/3)+1))</f>
        <v/>
      </c>
      <c r="O27" s="54" t="str">
        <f>IF(OR(tblMilestones[[#This Row],[Revised Due Date]]="",tblMilestones[[#This Row],[Due Date]]=""),"",tblMilestones[[#This Row],[Revised Due Date]]-tblMilestones[[#This Row],[Due Date]])</f>
        <v/>
      </c>
      <c r="P27" s="54" t="str">
        <f>IF(OR(tblMilestones[[#This Row],[Effective Due]]="",tblMilestones[[#This Row],[Status]]="Complete"),"",tblMilestones[[#This Row],[Effective Due]]-AsOf)</f>
        <v/>
      </c>
      <c r="Q27"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27" s="56" t="str">
        <f>IF(tblMilestones[[#This Row],[Depends On]]="","",IFERROR(INDEX(tblMilestones[Status],MATCH(tblMilestones[[#This Row],[Depends On]],tblMilestones[ID],0)),"Not Found"))</f>
        <v/>
      </c>
      <c r="S27"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28">
      <c r="A28" s="52" t="n"/>
      <c r="B28" s="26" t="n"/>
      <c r="C28" s="52" t="n"/>
      <c r="D28" s="26" t="n"/>
      <c r="E28" s="52" t="n"/>
      <c r="F28" s="53" t="n"/>
      <c r="G28" s="53" t="n"/>
      <c r="H28" s="52" t="n"/>
      <c r="I28" s="53" t="n"/>
      <c r="J28" s="52" t="n"/>
      <c r="K28" s="60" t="n"/>
      <c r="L28" s="26" t="n"/>
      <c r="M28" s="58" t="str">
        <f>IF(AND(tblMilestones[[#This Row],[Due Date]]="",tblMilestones[[#This Row],[Revised Due Date]]=""),"",IF(tblMilestones[[#This Row],[Revised Due Date]]&lt;&gt;"",tblMilestones[[#This Row],[Revised Due Date]],tblMilestones[[#This Row],[Due Date]]))</f>
        <v/>
      </c>
      <c r="N28" s="59" t="str">
        <f>IF(tblMilestones[[#This Row],[Effective Due]]="","","Q"&amp;(INT(MOD(MONTH(tblMilestones[[#This Row],[Effective Due]])-StartMonth,12)/3)+1))</f>
        <v/>
      </c>
      <c r="O28" s="54" t="str">
        <f>IF(OR(tblMilestones[[#This Row],[Revised Due Date]]="",tblMilestones[[#This Row],[Due Date]]=""),"",tblMilestones[[#This Row],[Revised Due Date]]-tblMilestones[[#This Row],[Due Date]])</f>
        <v/>
      </c>
      <c r="P28" s="54" t="str">
        <f>IF(OR(tblMilestones[[#This Row],[Effective Due]]="",tblMilestones[[#This Row],[Status]]="Complete"),"",tblMilestones[[#This Row],[Effective Due]]-AsOf)</f>
        <v/>
      </c>
      <c r="Q28"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28" s="56" t="str">
        <f>IF(tblMilestones[[#This Row],[Depends On]]="","",IFERROR(INDEX(tblMilestones[Status],MATCH(tblMilestones[[#This Row],[Depends On]],tblMilestones[ID],0)),"Not Found"))</f>
        <v/>
      </c>
      <c r="S28"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29">
      <c r="A29" s="52" t="n"/>
      <c r="B29" s="26" t="n"/>
      <c r="C29" s="52" t="n"/>
      <c r="D29" s="26" t="n"/>
      <c r="E29" s="52" t="n"/>
      <c r="F29" s="53" t="n"/>
      <c r="G29" s="53" t="n"/>
      <c r="H29" s="52" t="n"/>
      <c r="I29" s="53" t="n"/>
      <c r="J29" s="52" t="n"/>
      <c r="K29" s="60" t="n"/>
      <c r="L29" s="26" t="n"/>
      <c r="M29" s="58" t="str">
        <f>IF(AND(tblMilestones[[#This Row],[Due Date]]="",tblMilestones[[#This Row],[Revised Due Date]]=""),"",IF(tblMilestones[[#This Row],[Revised Due Date]]&lt;&gt;"",tblMilestones[[#This Row],[Revised Due Date]],tblMilestones[[#This Row],[Due Date]]))</f>
        <v/>
      </c>
      <c r="N29" s="59" t="str">
        <f>IF(tblMilestones[[#This Row],[Effective Due]]="","","Q"&amp;(INT(MOD(MONTH(tblMilestones[[#This Row],[Effective Due]])-StartMonth,12)/3)+1))</f>
        <v/>
      </c>
      <c r="O29" s="54" t="str">
        <f>IF(OR(tblMilestones[[#This Row],[Revised Due Date]]="",tblMilestones[[#This Row],[Due Date]]=""),"",tblMilestones[[#This Row],[Revised Due Date]]-tblMilestones[[#This Row],[Due Date]])</f>
        <v/>
      </c>
      <c r="P29" s="54" t="str">
        <f>IF(OR(tblMilestones[[#This Row],[Effective Due]]="",tblMilestones[[#This Row],[Status]]="Complete"),"",tblMilestones[[#This Row],[Effective Due]]-AsOf)</f>
        <v/>
      </c>
      <c r="Q29"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29" s="56" t="str">
        <f>IF(tblMilestones[[#This Row],[Depends On]]="","",IFERROR(INDEX(tblMilestones[Status],MATCH(tblMilestones[[#This Row],[Depends On]],tblMilestones[ID],0)),"Not Found"))</f>
        <v/>
      </c>
      <c r="S29"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30">
      <c r="A30" s="52" t="n"/>
      <c r="B30" s="26" t="n"/>
      <c r="C30" s="52" t="n"/>
      <c r="D30" s="26" t="n"/>
      <c r="E30" s="52" t="n"/>
      <c r="F30" s="53" t="n"/>
      <c r="G30" s="53" t="n"/>
      <c r="H30" s="52" t="n"/>
      <c r="I30" s="53" t="n"/>
      <c r="J30" s="52" t="n"/>
      <c r="K30" s="60" t="n"/>
      <c r="L30" s="26" t="n"/>
      <c r="M30" s="58" t="str">
        <f>IF(AND(tblMilestones[[#This Row],[Due Date]]="",tblMilestones[[#This Row],[Revised Due Date]]=""),"",IF(tblMilestones[[#This Row],[Revised Due Date]]&lt;&gt;"",tblMilestones[[#This Row],[Revised Due Date]],tblMilestones[[#This Row],[Due Date]]))</f>
        <v/>
      </c>
      <c r="N30" s="59" t="str">
        <f>IF(tblMilestones[[#This Row],[Effective Due]]="","","Q"&amp;(INT(MOD(MONTH(tblMilestones[[#This Row],[Effective Due]])-StartMonth,12)/3)+1))</f>
        <v/>
      </c>
      <c r="O30" s="54" t="str">
        <f>IF(OR(tblMilestones[[#This Row],[Revised Due Date]]="",tblMilestones[[#This Row],[Due Date]]=""),"",tblMilestones[[#This Row],[Revised Due Date]]-tblMilestones[[#This Row],[Due Date]])</f>
        <v/>
      </c>
      <c r="P30" s="54" t="str">
        <f>IF(OR(tblMilestones[[#This Row],[Effective Due]]="",tblMilestones[[#This Row],[Status]]="Complete"),"",tblMilestones[[#This Row],[Effective Due]]-AsOf)</f>
        <v/>
      </c>
      <c r="Q30"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30" s="56" t="str">
        <f>IF(tblMilestones[[#This Row],[Depends On]]="","",IFERROR(INDEX(tblMilestones[Status],MATCH(tblMilestones[[#This Row],[Depends On]],tblMilestones[ID],0)),"Not Found"))</f>
        <v/>
      </c>
      <c r="S30"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31">
      <c r="A31" s="52" t="n"/>
      <c r="B31" s="26" t="n"/>
      <c r="C31" s="52" t="n"/>
      <c r="D31" s="26" t="n"/>
      <c r="E31" s="52" t="n"/>
      <c r="F31" s="53" t="n"/>
      <c r="G31" s="53" t="n"/>
      <c r="H31" s="52" t="n"/>
      <c r="I31" s="53" t="n"/>
      <c r="J31" s="52" t="n"/>
      <c r="K31" s="60" t="n"/>
      <c r="L31" s="26" t="n"/>
      <c r="M31" s="58" t="str">
        <f>IF(AND(tblMilestones[[#This Row],[Due Date]]="",tblMilestones[[#This Row],[Revised Due Date]]=""),"",IF(tblMilestones[[#This Row],[Revised Due Date]]&lt;&gt;"",tblMilestones[[#This Row],[Revised Due Date]],tblMilestones[[#This Row],[Due Date]]))</f>
        <v/>
      </c>
      <c r="N31" s="59" t="str">
        <f>IF(tblMilestones[[#This Row],[Effective Due]]="","","Q"&amp;(INT(MOD(MONTH(tblMilestones[[#This Row],[Effective Due]])-StartMonth,12)/3)+1))</f>
        <v/>
      </c>
      <c r="O31" s="54" t="str">
        <f>IF(OR(tblMilestones[[#This Row],[Revised Due Date]]="",tblMilestones[[#This Row],[Due Date]]=""),"",tblMilestones[[#This Row],[Revised Due Date]]-tblMilestones[[#This Row],[Due Date]])</f>
        <v/>
      </c>
      <c r="P31" s="54" t="str">
        <f>IF(OR(tblMilestones[[#This Row],[Effective Due]]="",tblMilestones[[#This Row],[Status]]="Complete"),"",tblMilestones[[#This Row],[Effective Due]]-AsOf)</f>
        <v/>
      </c>
      <c r="Q31"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31" s="56" t="str">
        <f>IF(tblMilestones[[#This Row],[Depends On]]="","",IFERROR(INDEX(tblMilestones[Status],MATCH(tblMilestones[[#This Row],[Depends On]],tblMilestones[ID],0)),"Not Found"))</f>
        <v/>
      </c>
      <c r="S31"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32">
      <c r="A32" s="52" t="n"/>
      <c r="B32" s="26" t="n"/>
      <c r="C32" s="52" t="n"/>
      <c r="D32" s="26" t="n"/>
      <c r="E32" s="52" t="n"/>
      <c r="F32" s="53" t="n"/>
      <c r="G32" s="53" t="n"/>
      <c r="H32" s="52" t="n"/>
      <c r="I32" s="53" t="n"/>
      <c r="J32" s="52" t="n"/>
      <c r="K32" s="60" t="n"/>
      <c r="L32" s="26" t="n"/>
      <c r="M32" s="58" t="str">
        <f>IF(AND(tblMilestones[[#This Row],[Due Date]]="",tblMilestones[[#This Row],[Revised Due Date]]=""),"",IF(tblMilestones[[#This Row],[Revised Due Date]]&lt;&gt;"",tblMilestones[[#This Row],[Revised Due Date]],tblMilestones[[#This Row],[Due Date]]))</f>
        <v/>
      </c>
      <c r="N32" s="59" t="str">
        <f>IF(tblMilestones[[#This Row],[Effective Due]]="","","Q"&amp;(INT(MOD(MONTH(tblMilestones[[#This Row],[Effective Due]])-StartMonth,12)/3)+1))</f>
        <v/>
      </c>
      <c r="O32" s="54" t="str">
        <f>IF(OR(tblMilestones[[#This Row],[Revised Due Date]]="",tblMilestones[[#This Row],[Due Date]]=""),"",tblMilestones[[#This Row],[Revised Due Date]]-tblMilestones[[#This Row],[Due Date]])</f>
        <v/>
      </c>
      <c r="P32" s="54" t="str">
        <f>IF(OR(tblMilestones[[#This Row],[Effective Due]]="",tblMilestones[[#This Row],[Status]]="Complete"),"",tblMilestones[[#This Row],[Effective Due]]-AsOf)</f>
        <v/>
      </c>
      <c r="Q32"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32" s="56" t="str">
        <f>IF(tblMilestones[[#This Row],[Depends On]]="","",IFERROR(INDEX(tblMilestones[Status],MATCH(tblMilestones[[#This Row],[Depends On]],tblMilestones[ID],0)),"Not Found"))</f>
        <v/>
      </c>
      <c r="S32"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33">
      <c r="A33" s="52" t="n"/>
      <c r="B33" s="26" t="n"/>
      <c r="C33" s="52" t="n"/>
      <c r="D33" s="26" t="n"/>
      <c r="E33" s="52" t="n"/>
      <c r="F33" s="53" t="n"/>
      <c r="G33" s="53" t="n"/>
      <c r="H33" s="52" t="n"/>
      <c r="I33" s="53" t="n"/>
      <c r="J33" s="52" t="n"/>
      <c r="K33" s="60" t="n"/>
      <c r="L33" s="26" t="n"/>
      <c r="M33" s="58" t="str">
        <f>IF(AND(tblMilestones[[#This Row],[Due Date]]="",tblMilestones[[#This Row],[Revised Due Date]]=""),"",IF(tblMilestones[[#This Row],[Revised Due Date]]&lt;&gt;"",tblMilestones[[#This Row],[Revised Due Date]],tblMilestones[[#This Row],[Due Date]]))</f>
        <v/>
      </c>
      <c r="N33" s="59" t="str">
        <f>IF(tblMilestones[[#This Row],[Effective Due]]="","","Q"&amp;(INT(MOD(MONTH(tblMilestones[[#This Row],[Effective Due]])-StartMonth,12)/3)+1))</f>
        <v/>
      </c>
      <c r="O33" s="54" t="str">
        <f>IF(OR(tblMilestones[[#This Row],[Revised Due Date]]="",tblMilestones[[#This Row],[Due Date]]=""),"",tblMilestones[[#This Row],[Revised Due Date]]-tblMilestones[[#This Row],[Due Date]])</f>
        <v/>
      </c>
      <c r="P33" s="54" t="str">
        <f>IF(OR(tblMilestones[[#This Row],[Effective Due]]="",tblMilestones[[#This Row],[Status]]="Complete"),"",tblMilestones[[#This Row],[Effective Due]]-AsOf)</f>
        <v/>
      </c>
      <c r="Q33"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33" s="56" t="str">
        <f>IF(tblMilestones[[#This Row],[Depends On]]="","",IFERROR(INDEX(tblMilestones[Status],MATCH(tblMilestones[[#This Row],[Depends On]],tblMilestones[ID],0)),"Not Found"))</f>
        <v/>
      </c>
      <c r="S33"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34">
      <c r="A34" s="52" t="n"/>
      <c r="B34" s="26" t="n"/>
      <c r="C34" s="52" t="n"/>
      <c r="D34" s="26" t="n"/>
      <c r="E34" s="52" t="n"/>
      <c r="F34" s="53" t="n"/>
      <c r="G34" s="53" t="n"/>
      <c r="H34" s="52" t="n"/>
      <c r="I34" s="53" t="n"/>
      <c r="J34" s="52" t="n"/>
      <c r="K34" s="60" t="n"/>
      <c r="L34" s="26" t="n"/>
      <c r="M34" s="58" t="str">
        <f>IF(AND(tblMilestones[[#This Row],[Due Date]]="",tblMilestones[[#This Row],[Revised Due Date]]=""),"",IF(tblMilestones[[#This Row],[Revised Due Date]]&lt;&gt;"",tblMilestones[[#This Row],[Revised Due Date]],tblMilestones[[#This Row],[Due Date]]))</f>
        <v/>
      </c>
      <c r="N34" s="59" t="str">
        <f>IF(tblMilestones[[#This Row],[Effective Due]]="","","Q"&amp;(INT(MOD(MONTH(tblMilestones[[#This Row],[Effective Due]])-StartMonth,12)/3)+1))</f>
        <v/>
      </c>
      <c r="O34" s="54" t="str">
        <f>IF(OR(tblMilestones[[#This Row],[Revised Due Date]]="",tblMilestones[[#This Row],[Due Date]]=""),"",tblMilestones[[#This Row],[Revised Due Date]]-tblMilestones[[#This Row],[Due Date]])</f>
        <v/>
      </c>
      <c r="P34" s="54" t="str">
        <f>IF(OR(tblMilestones[[#This Row],[Effective Due]]="",tblMilestones[[#This Row],[Status]]="Complete"),"",tblMilestones[[#This Row],[Effective Due]]-AsOf)</f>
        <v/>
      </c>
      <c r="Q34"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34" s="56" t="str">
        <f>IF(tblMilestones[[#This Row],[Depends On]]="","",IFERROR(INDEX(tblMilestones[Status],MATCH(tblMilestones[[#This Row],[Depends On]],tblMilestones[ID],0)),"Not Found"))</f>
        <v/>
      </c>
      <c r="S34"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35">
      <c r="A35" s="52" t="n"/>
      <c r="B35" s="26" t="n"/>
      <c r="C35" s="52" t="n"/>
      <c r="D35" s="26" t="n"/>
      <c r="E35" s="52" t="n"/>
      <c r="F35" s="53" t="n"/>
      <c r="G35" s="53" t="n"/>
      <c r="H35" s="52" t="n"/>
      <c r="I35" s="53" t="n"/>
      <c r="J35" s="52" t="n"/>
      <c r="K35" s="60" t="n"/>
      <c r="L35" s="26" t="n"/>
      <c r="M35" s="58" t="str">
        <f>IF(AND(tblMilestones[[#This Row],[Due Date]]="",tblMilestones[[#This Row],[Revised Due Date]]=""),"",IF(tblMilestones[[#This Row],[Revised Due Date]]&lt;&gt;"",tblMilestones[[#This Row],[Revised Due Date]],tblMilestones[[#This Row],[Due Date]]))</f>
        <v/>
      </c>
      <c r="N35" s="59" t="str">
        <f>IF(tblMilestones[[#This Row],[Effective Due]]="","","Q"&amp;(INT(MOD(MONTH(tblMilestones[[#This Row],[Effective Due]])-StartMonth,12)/3)+1))</f>
        <v/>
      </c>
      <c r="O35" s="54" t="str">
        <f>IF(OR(tblMilestones[[#This Row],[Revised Due Date]]="",tblMilestones[[#This Row],[Due Date]]=""),"",tblMilestones[[#This Row],[Revised Due Date]]-tblMilestones[[#This Row],[Due Date]])</f>
        <v/>
      </c>
      <c r="P35" s="54" t="str">
        <f>IF(OR(tblMilestones[[#This Row],[Effective Due]]="",tblMilestones[[#This Row],[Status]]="Complete"),"",tblMilestones[[#This Row],[Effective Due]]-AsOf)</f>
        <v/>
      </c>
      <c r="Q35"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35" s="56" t="str">
        <f>IF(tblMilestones[[#This Row],[Depends On]]="","",IFERROR(INDEX(tblMilestones[Status],MATCH(tblMilestones[[#This Row],[Depends On]],tblMilestones[ID],0)),"Not Found"))</f>
        <v/>
      </c>
      <c r="S35"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36">
      <c r="A36" s="52" t="n"/>
      <c r="B36" s="26" t="n"/>
      <c r="C36" s="52" t="n"/>
      <c r="D36" s="26" t="n"/>
      <c r="E36" s="52" t="n"/>
      <c r="F36" s="53" t="n"/>
      <c r="G36" s="53" t="n"/>
      <c r="H36" s="52" t="n"/>
      <c r="I36" s="53" t="n"/>
      <c r="J36" s="52" t="n"/>
      <c r="K36" s="60" t="n"/>
      <c r="L36" s="26" t="n"/>
      <c r="M36" s="58" t="str">
        <f>IF(AND(tblMilestones[[#This Row],[Due Date]]="",tblMilestones[[#This Row],[Revised Due Date]]=""),"",IF(tblMilestones[[#This Row],[Revised Due Date]]&lt;&gt;"",tblMilestones[[#This Row],[Revised Due Date]],tblMilestones[[#This Row],[Due Date]]))</f>
        <v/>
      </c>
      <c r="N36" s="59" t="str">
        <f>IF(tblMilestones[[#This Row],[Effective Due]]="","","Q"&amp;(INT(MOD(MONTH(tblMilestones[[#This Row],[Effective Due]])-StartMonth,12)/3)+1))</f>
        <v/>
      </c>
      <c r="O36" s="54" t="str">
        <f>IF(OR(tblMilestones[[#This Row],[Revised Due Date]]="",tblMilestones[[#This Row],[Due Date]]=""),"",tblMilestones[[#This Row],[Revised Due Date]]-tblMilestones[[#This Row],[Due Date]])</f>
        <v/>
      </c>
      <c r="P36" s="54" t="str">
        <f>IF(OR(tblMilestones[[#This Row],[Effective Due]]="",tblMilestones[[#This Row],[Status]]="Complete"),"",tblMilestones[[#This Row],[Effective Due]]-AsOf)</f>
        <v/>
      </c>
      <c r="Q36"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36" s="56" t="str">
        <f>IF(tblMilestones[[#This Row],[Depends On]]="","",IFERROR(INDEX(tblMilestones[Status],MATCH(tblMilestones[[#This Row],[Depends On]],tblMilestones[ID],0)),"Not Found"))</f>
        <v/>
      </c>
      <c r="S36"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37">
      <c r="A37" s="52" t="n"/>
      <c r="B37" s="26" t="n"/>
      <c r="C37" s="52" t="n"/>
      <c r="D37" s="26" t="n"/>
      <c r="E37" s="52" t="n"/>
      <c r="F37" s="53" t="n"/>
      <c r="G37" s="53" t="n"/>
      <c r="H37" s="52" t="n"/>
      <c r="I37" s="53" t="n"/>
      <c r="J37" s="52" t="n"/>
      <c r="K37" s="60" t="n"/>
      <c r="L37" s="26" t="n"/>
      <c r="M37" s="58" t="str">
        <f>IF(AND(tblMilestones[[#This Row],[Due Date]]="",tblMilestones[[#This Row],[Revised Due Date]]=""),"",IF(tblMilestones[[#This Row],[Revised Due Date]]&lt;&gt;"",tblMilestones[[#This Row],[Revised Due Date]],tblMilestones[[#This Row],[Due Date]]))</f>
        <v/>
      </c>
      <c r="N37" s="59" t="str">
        <f>IF(tblMilestones[[#This Row],[Effective Due]]="","","Q"&amp;(INT(MOD(MONTH(tblMilestones[[#This Row],[Effective Due]])-StartMonth,12)/3)+1))</f>
        <v/>
      </c>
      <c r="O37" s="54" t="str">
        <f>IF(OR(tblMilestones[[#This Row],[Revised Due Date]]="",tblMilestones[[#This Row],[Due Date]]=""),"",tblMilestones[[#This Row],[Revised Due Date]]-tblMilestones[[#This Row],[Due Date]])</f>
        <v/>
      </c>
      <c r="P37" s="54" t="str">
        <f>IF(OR(tblMilestones[[#This Row],[Effective Due]]="",tblMilestones[[#This Row],[Status]]="Complete"),"",tblMilestones[[#This Row],[Effective Due]]-AsOf)</f>
        <v/>
      </c>
      <c r="Q37"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37" s="56" t="str">
        <f>IF(tblMilestones[[#This Row],[Depends On]]="","",IFERROR(INDEX(tblMilestones[Status],MATCH(tblMilestones[[#This Row],[Depends On]],tblMilestones[ID],0)),"Not Found"))</f>
        <v/>
      </c>
      <c r="S37"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38">
      <c r="A38" s="52" t="n"/>
      <c r="B38" s="26" t="n"/>
      <c r="C38" s="52" t="n"/>
      <c r="D38" s="26" t="n"/>
      <c r="E38" s="52" t="n"/>
      <c r="F38" s="53" t="n"/>
      <c r="G38" s="53" t="n"/>
      <c r="H38" s="52" t="n"/>
      <c r="I38" s="53" t="n"/>
      <c r="J38" s="52" t="n"/>
      <c r="K38" s="60" t="n"/>
      <c r="L38" s="26" t="n"/>
      <c r="M38" s="58" t="str">
        <f>IF(AND(tblMilestones[[#This Row],[Due Date]]="",tblMilestones[[#This Row],[Revised Due Date]]=""),"",IF(tblMilestones[[#This Row],[Revised Due Date]]&lt;&gt;"",tblMilestones[[#This Row],[Revised Due Date]],tblMilestones[[#This Row],[Due Date]]))</f>
        <v/>
      </c>
      <c r="N38" s="59" t="str">
        <f>IF(tblMilestones[[#This Row],[Effective Due]]="","","Q"&amp;(INT(MOD(MONTH(tblMilestones[[#This Row],[Effective Due]])-StartMonth,12)/3)+1))</f>
        <v/>
      </c>
      <c r="O38" s="54" t="str">
        <f>IF(OR(tblMilestones[[#This Row],[Revised Due Date]]="",tblMilestones[[#This Row],[Due Date]]=""),"",tblMilestones[[#This Row],[Revised Due Date]]-tblMilestones[[#This Row],[Due Date]])</f>
        <v/>
      </c>
      <c r="P38" s="54" t="str">
        <f>IF(OR(tblMilestones[[#This Row],[Effective Due]]="",tblMilestones[[#This Row],[Status]]="Complete"),"",tblMilestones[[#This Row],[Effective Due]]-AsOf)</f>
        <v/>
      </c>
      <c r="Q38"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38" s="56" t="str">
        <f>IF(tblMilestones[[#This Row],[Depends On]]="","",IFERROR(INDEX(tblMilestones[Status],MATCH(tblMilestones[[#This Row],[Depends On]],tblMilestones[ID],0)),"Not Found"))</f>
        <v/>
      </c>
      <c r="S38"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39">
      <c r="A39" s="52" t="n"/>
      <c r="B39" s="26" t="n"/>
      <c r="C39" s="52" t="n"/>
      <c r="D39" s="26" t="n"/>
      <c r="E39" s="52" t="n"/>
      <c r="F39" s="53" t="n"/>
      <c r="G39" s="53" t="n"/>
      <c r="H39" s="52" t="n"/>
      <c r="I39" s="53" t="n"/>
      <c r="J39" s="52" t="n"/>
      <c r="K39" s="60" t="n"/>
      <c r="L39" s="26" t="n"/>
      <c r="M39" s="58" t="str">
        <f>IF(AND(tblMilestones[[#This Row],[Due Date]]="",tblMilestones[[#This Row],[Revised Due Date]]=""),"",IF(tblMilestones[[#This Row],[Revised Due Date]]&lt;&gt;"",tblMilestones[[#This Row],[Revised Due Date]],tblMilestones[[#This Row],[Due Date]]))</f>
        <v/>
      </c>
      <c r="N39" s="59" t="str">
        <f>IF(tblMilestones[[#This Row],[Effective Due]]="","","Q"&amp;(INT(MOD(MONTH(tblMilestones[[#This Row],[Effective Due]])-StartMonth,12)/3)+1))</f>
        <v/>
      </c>
      <c r="O39" s="54" t="str">
        <f>IF(OR(tblMilestones[[#This Row],[Revised Due Date]]="",tblMilestones[[#This Row],[Due Date]]=""),"",tblMilestones[[#This Row],[Revised Due Date]]-tblMilestones[[#This Row],[Due Date]])</f>
        <v/>
      </c>
      <c r="P39" s="54" t="str">
        <f>IF(OR(tblMilestones[[#This Row],[Effective Due]]="",tblMilestones[[#This Row],[Status]]="Complete"),"",tblMilestones[[#This Row],[Effective Due]]-AsOf)</f>
        <v/>
      </c>
      <c r="Q39"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39" s="56" t="str">
        <f>IF(tblMilestones[[#This Row],[Depends On]]="","",IFERROR(INDEX(tblMilestones[Status],MATCH(tblMilestones[[#This Row],[Depends On]],tblMilestones[ID],0)),"Not Found"))</f>
        <v/>
      </c>
      <c r="S39"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40">
      <c r="A40" s="52" t="n"/>
      <c r="B40" s="26" t="n"/>
      <c r="C40" s="52" t="n"/>
      <c r="D40" s="26" t="n"/>
      <c r="E40" s="52" t="n"/>
      <c r="F40" s="53" t="n"/>
      <c r="G40" s="53" t="n"/>
      <c r="H40" s="52" t="n"/>
      <c r="I40" s="53" t="n"/>
      <c r="J40" s="52" t="n"/>
      <c r="K40" s="60" t="n"/>
      <c r="L40" s="26" t="n"/>
      <c r="M40" s="58" t="str">
        <f>IF(AND(tblMilestones[[#This Row],[Due Date]]="",tblMilestones[[#This Row],[Revised Due Date]]=""),"",IF(tblMilestones[[#This Row],[Revised Due Date]]&lt;&gt;"",tblMilestones[[#This Row],[Revised Due Date]],tblMilestones[[#This Row],[Due Date]]))</f>
        <v/>
      </c>
      <c r="N40" s="59" t="str">
        <f>IF(tblMilestones[[#This Row],[Effective Due]]="","","Q"&amp;(INT(MOD(MONTH(tblMilestones[[#This Row],[Effective Due]])-StartMonth,12)/3)+1))</f>
        <v/>
      </c>
      <c r="O40" s="54" t="str">
        <f>IF(OR(tblMilestones[[#This Row],[Revised Due Date]]="",tblMilestones[[#This Row],[Due Date]]=""),"",tblMilestones[[#This Row],[Revised Due Date]]-tblMilestones[[#This Row],[Due Date]])</f>
        <v/>
      </c>
      <c r="P40" s="54" t="str">
        <f>IF(OR(tblMilestones[[#This Row],[Effective Due]]="",tblMilestones[[#This Row],[Status]]="Complete"),"",tblMilestones[[#This Row],[Effective Due]]-AsOf)</f>
        <v/>
      </c>
      <c r="Q40"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40" s="56" t="str">
        <f>IF(tblMilestones[[#This Row],[Depends On]]="","",IFERROR(INDEX(tblMilestones[Status],MATCH(tblMilestones[[#This Row],[Depends On]],tblMilestones[ID],0)),"Not Found"))</f>
        <v/>
      </c>
      <c r="S40"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41">
      <c r="A41" s="52" t="n"/>
      <c r="B41" s="26" t="n"/>
      <c r="C41" s="52" t="n"/>
      <c r="D41" s="26" t="n"/>
      <c r="E41" s="52" t="n"/>
      <c r="F41" s="53" t="n"/>
      <c r="G41" s="53" t="n"/>
      <c r="H41" s="52" t="n"/>
      <c r="I41" s="53" t="n"/>
      <c r="J41" s="52" t="n"/>
      <c r="K41" s="60" t="n"/>
      <c r="L41" s="26" t="n"/>
      <c r="M41" s="58" t="str">
        <f>IF(AND(tblMilestones[[#This Row],[Due Date]]="",tblMilestones[[#This Row],[Revised Due Date]]=""),"",IF(tblMilestones[[#This Row],[Revised Due Date]]&lt;&gt;"",tblMilestones[[#This Row],[Revised Due Date]],tblMilestones[[#This Row],[Due Date]]))</f>
        <v/>
      </c>
      <c r="N41" s="59" t="str">
        <f>IF(tblMilestones[[#This Row],[Effective Due]]="","","Q"&amp;(INT(MOD(MONTH(tblMilestones[[#This Row],[Effective Due]])-StartMonth,12)/3)+1))</f>
        <v/>
      </c>
      <c r="O41" s="54" t="str">
        <f>IF(OR(tblMilestones[[#This Row],[Revised Due Date]]="",tblMilestones[[#This Row],[Due Date]]=""),"",tblMilestones[[#This Row],[Revised Due Date]]-tblMilestones[[#This Row],[Due Date]])</f>
        <v/>
      </c>
      <c r="P41" s="54" t="str">
        <f>IF(OR(tblMilestones[[#This Row],[Effective Due]]="",tblMilestones[[#This Row],[Status]]="Complete"),"",tblMilestones[[#This Row],[Effective Due]]-AsOf)</f>
        <v/>
      </c>
      <c r="Q41"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41" s="56" t="str">
        <f>IF(tblMilestones[[#This Row],[Depends On]]="","",IFERROR(INDEX(tblMilestones[Status],MATCH(tblMilestones[[#This Row],[Depends On]],tblMilestones[ID],0)),"Not Found"))</f>
        <v/>
      </c>
      <c r="S41"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42">
      <c r="A42" s="52" t="n"/>
      <c r="B42" s="26" t="n"/>
      <c r="C42" s="52" t="n"/>
      <c r="D42" s="26" t="n"/>
      <c r="E42" s="52" t="n"/>
      <c r="F42" s="53" t="n"/>
      <c r="G42" s="53" t="n"/>
      <c r="H42" s="52" t="n"/>
      <c r="I42" s="53" t="n"/>
      <c r="J42" s="52" t="n"/>
      <c r="K42" s="60" t="n"/>
      <c r="L42" s="26" t="n"/>
      <c r="M42" s="58" t="str">
        <f>IF(AND(tblMilestones[[#This Row],[Due Date]]="",tblMilestones[[#This Row],[Revised Due Date]]=""),"",IF(tblMilestones[[#This Row],[Revised Due Date]]&lt;&gt;"",tblMilestones[[#This Row],[Revised Due Date]],tblMilestones[[#This Row],[Due Date]]))</f>
        <v/>
      </c>
      <c r="N42" s="59" t="str">
        <f>IF(tblMilestones[[#This Row],[Effective Due]]="","","Q"&amp;(INT(MOD(MONTH(tblMilestones[[#This Row],[Effective Due]])-StartMonth,12)/3)+1))</f>
        <v/>
      </c>
      <c r="O42" s="54" t="str">
        <f>IF(OR(tblMilestones[[#This Row],[Revised Due Date]]="",tblMilestones[[#This Row],[Due Date]]=""),"",tblMilestones[[#This Row],[Revised Due Date]]-tblMilestones[[#This Row],[Due Date]])</f>
        <v/>
      </c>
      <c r="P42" s="54" t="str">
        <f>IF(OR(tblMilestones[[#This Row],[Effective Due]]="",tblMilestones[[#This Row],[Status]]="Complete"),"",tblMilestones[[#This Row],[Effective Due]]-AsOf)</f>
        <v/>
      </c>
      <c r="Q42"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42" s="56" t="str">
        <f>IF(tblMilestones[[#This Row],[Depends On]]="","",IFERROR(INDEX(tblMilestones[Status],MATCH(tblMilestones[[#This Row],[Depends On]],tblMilestones[ID],0)),"Not Found"))</f>
        <v/>
      </c>
      <c r="S42"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43">
      <c r="A43" s="52" t="n"/>
      <c r="B43" s="26" t="n"/>
      <c r="C43" s="52" t="n"/>
      <c r="D43" s="26" t="n"/>
      <c r="E43" s="52" t="n"/>
      <c r="F43" s="53" t="n"/>
      <c r="G43" s="53" t="n"/>
      <c r="H43" s="52" t="n"/>
      <c r="I43" s="53" t="n"/>
      <c r="J43" s="52" t="n"/>
      <c r="K43" s="60" t="n"/>
      <c r="L43" s="26" t="n"/>
      <c r="M43" s="58" t="str">
        <f>IF(AND(tblMilestones[[#This Row],[Due Date]]="",tblMilestones[[#This Row],[Revised Due Date]]=""),"",IF(tblMilestones[[#This Row],[Revised Due Date]]&lt;&gt;"",tblMilestones[[#This Row],[Revised Due Date]],tblMilestones[[#This Row],[Due Date]]))</f>
        <v/>
      </c>
      <c r="N43" s="59" t="str">
        <f>IF(tblMilestones[[#This Row],[Effective Due]]="","","Q"&amp;(INT(MOD(MONTH(tblMilestones[[#This Row],[Effective Due]])-StartMonth,12)/3)+1))</f>
        <v/>
      </c>
      <c r="O43" s="54" t="str">
        <f>IF(OR(tblMilestones[[#This Row],[Revised Due Date]]="",tblMilestones[[#This Row],[Due Date]]=""),"",tblMilestones[[#This Row],[Revised Due Date]]-tblMilestones[[#This Row],[Due Date]])</f>
        <v/>
      </c>
      <c r="P43" s="54" t="str">
        <f>IF(OR(tblMilestones[[#This Row],[Effective Due]]="",tblMilestones[[#This Row],[Status]]="Complete"),"",tblMilestones[[#This Row],[Effective Due]]-AsOf)</f>
        <v/>
      </c>
      <c r="Q43"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43" s="56" t="str">
        <f>IF(tblMilestones[[#This Row],[Depends On]]="","",IFERROR(INDEX(tblMilestones[Status],MATCH(tblMilestones[[#This Row],[Depends On]],tblMilestones[ID],0)),"Not Found"))</f>
        <v/>
      </c>
      <c r="S43"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44">
      <c r="A44" s="52" t="n"/>
      <c r="B44" s="26" t="n"/>
      <c r="C44" s="52" t="n"/>
      <c r="D44" s="26" t="n"/>
      <c r="E44" s="52" t="n"/>
      <c r="F44" s="53" t="n"/>
      <c r="G44" s="53" t="n"/>
      <c r="H44" s="52" t="n"/>
      <c r="I44" s="53" t="n"/>
      <c r="J44" s="52" t="n"/>
      <c r="K44" s="60" t="n"/>
      <c r="L44" s="26" t="n"/>
      <c r="M44" s="58" t="str">
        <f>IF(AND(tblMilestones[[#This Row],[Due Date]]="",tblMilestones[[#This Row],[Revised Due Date]]=""),"",IF(tblMilestones[[#This Row],[Revised Due Date]]&lt;&gt;"",tblMilestones[[#This Row],[Revised Due Date]],tblMilestones[[#This Row],[Due Date]]))</f>
        <v/>
      </c>
      <c r="N44" s="59" t="str">
        <f>IF(tblMilestones[[#This Row],[Effective Due]]="","","Q"&amp;(INT(MOD(MONTH(tblMilestones[[#This Row],[Effective Due]])-StartMonth,12)/3)+1))</f>
        <v/>
      </c>
      <c r="O44" s="54" t="str">
        <f>IF(OR(tblMilestones[[#This Row],[Revised Due Date]]="",tblMilestones[[#This Row],[Due Date]]=""),"",tblMilestones[[#This Row],[Revised Due Date]]-tblMilestones[[#This Row],[Due Date]])</f>
        <v/>
      </c>
      <c r="P44" s="54" t="str">
        <f>IF(OR(tblMilestones[[#This Row],[Effective Due]]="",tblMilestones[[#This Row],[Status]]="Complete"),"",tblMilestones[[#This Row],[Effective Due]]-AsOf)</f>
        <v/>
      </c>
      <c r="Q44"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44" s="56" t="str">
        <f>IF(tblMilestones[[#This Row],[Depends On]]="","",IFERROR(INDEX(tblMilestones[Status],MATCH(tblMilestones[[#This Row],[Depends On]],tblMilestones[ID],0)),"Not Found"))</f>
        <v/>
      </c>
      <c r="S44"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45">
      <c r="A45" s="52" t="n"/>
      <c r="B45" s="26" t="n"/>
      <c r="C45" s="52" t="n"/>
      <c r="D45" s="26" t="n"/>
      <c r="E45" s="52" t="n"/>
      <c r="F45" s="53" t="n"/>
      <c r="G45" s="53" t="n"/>
      <c r="H45" s="52" t="n"/>
      <c r="I45" s="53" t="n"/>
      <c r="J45" s="52" t="n"/>
      <c r="K45" s="60" t="n"/>
      <c r="L45" s="26" t="n"/>
      <c r="M45" s="58" t="str">
        <f>IF(AND(tblMilestones[[#This Row],[Due Date]]="",tblMilestones[[#This Row],[Revised Due Date]]=""),"",IF(tblMilestones[[#This Row],[Revised Due Date]]&lt;&gt;"",tblMilestones[[#This Row],[Revised Due Date]],tblMilestones[[#This Row],[Due Date]]))</f>
        <v/>
      </c>
      <c r="N45" s="59" t="str">
        <f>IF(tblMilestones[[#This Row],[Effective Due]]="","","Q"&amp;(INT(MOD(MONTH(tblMilestones[[#This Row],[Effective Due]])-StartMonth,12)/3)+1))</f>
        <v/>
      </c>
      <c r="O45" s="54" t="str">
        <f>IF(OR(tblMilestones[[#This Row],[Revised Due Date]]="",tblMilestones[[#This Row],[Due Date]]=""),"",tblMilestones[[#This Row],[Revised Due Date]]-tblMilestones[[#This Row],[Due Date]])</f>
        <v/>
      </c>
      <c r="P45" s="54" t="str">
        <f>IF(OR(tblMilestones[[#This Row],[Effective Due]]="",tblMilestones[[#This Row],[Status]]="Complete"),"",tblMilestones[[#This Row],[Effective Due]]-AsOf)</f>
        <v/>
      </c>
      <c r="Q45"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45" s="56" t="str">
        <f>IF(tblMilestones[[#This Row],[Depends On]]="","",IFERROR(INDEX(tblMilestones[Status],MATCH(tblMilestones[[#This Row],[Depends On]],tblMilestones[ID],0)),"Not Found"))</f>
        <v/>
      </c>
      <c r="S45"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46">
      <c r="A46" s="52" t="n"/>
      <c r="B46" s="26" t="n"/>
      <c r="C46" s="52" t="n"/>
      <c r="D46" s="26" t="n"/>
      <c r="E46" s="52" t="n"/>
      <c r="F46" s="53" t="n"/>
      <c r="G46" s="53" t="n"/>
      <c r="H46" s="52" t="n"/>
      <c r="I46" s="53" t="n"/>
      <c r="J46" s="52" t="n"/>
      <c r="K46" s="60" t="n"/>
      <c r="L46" s="26" t="n"/>
      <c r="M46" s="58" t="str">
        <f>IF(AND(tblMilestones[[#This Row],[Due Date]]="",tblMilestones[[#This Row],[Revised Due Date]]=""),"",IF(tblMilestones[[#This Row],[Revised Due Date]]&lt;&gt;"",tblMilestones[[#This Row],[Revised Due Date]],tblMilestones[[#This Row],[Due Date]]))</f>
        <v/>
      </c>
      <c r="N46" s="59" t="str">
        <f>IF(tblMilestones[[#This Row],[Effective Due]]="","","Q"&amp;(INT(MOD(MONTH(tblMilestones[[#This Row],[Effective Due]])-StartMonth,12)/3)+1))</f>
        <v/>
      </c>
      <c r="O46" s="54" t="str">
        <f>IF(OR(tblMilestones[[#This Row],[Revised Due Date]]="",tblMilestones[[#This Row],[Due Date]]=""),"",tblMilestones[[#This Row],[Revised Due Date]]-tblMilestones[[#This Row],[Due Date]])</f>
        <v/>
      </c>
      <c r="P46" s="54" t="str">
        <f>IF(OR(tblMilestones[[#This Row],[Effective Due]]="",tblMilestones[[#This Row],[Status]]="Complete"),"",tblMilestones[[#This Row],[Effective Due]]-AsOf)</f>
        <v/>
      </c>
      <c r="Q46"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46" s="56" t="str">
        <f>IF(tblMilestones[[#This Row],[Depends On]]="","",IFERROR(INDEX(tblMilestones[Status],MATCH(tblMilestones[[#This Row],[Depends On]],tblMilestones[ID],0)),"Not Found"))</f>
        <v/>
      </c>
      <c r="S46"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47">
      <c r="A47" s="52" t="n"/>
      <c r="B47" s="26" t="n"/>
      <c r="C47" s="52" t="n"/>
      <c r="D47" s="26" t="n"/>
      <c r="E47" s="52" t="n"/>
      <c r="F47" s="53" t="n"/>
      <c r="G47" s="53" t="n"/>
      <c r="H47" s="52" t="n"/>
      <c r="I47" s="53" t="n"/>
      <c r="J47" s="52" t="n"/>
      <c r="K47" s="60" t="n"/>
      <c r="L47" s="26" t="n"/>
      <c r="M47" s="58" t="str">
        <f>IF(AND(tblMilestones[[#This Row],[Due Date]]="",tblMilestones[[#This Row],[Revised Due Date]]=""),"",IF(tblMilestones[[#This Row],[Revised Due Date]]&lt;&gt;"",tblMilestones[[#This Row],[Revised Due Date]],tblMilestones[[#This Row],[Due Date]]))</f>
        <v/>
      </c>
      <c r="N47" s="59" t="str">
        <f>IF(tblMilestones[[#This Row],[Effective Due]]="","","Q"&amp;(INT(MOD(MONTH(tblMilestones[[#This Row],[Effective Due]])-StartMonth,12)/3)+1))</f>
        <v/>
      </c>
      <c r="O47" s="54" t="str">
        <f>IF(OR(tblMilestones[[#This Row],[Revised Due Date]]="",tblMilestones[[#This Row],[Due Date]]=""),"",tblMilestones[[#This Row],[Revised Due Date]]-tblMilestones[[#This Row],[Due Date]])</f>
        <v/>
      </c>
      <c r="P47" s="54" t="str">
        <f>IF(OR(tblMilestones[[#This Row],[Effective Due]]="",tblMilestones[[#This Row],[Status]]="Complete"),"",tblMilestones[[#This Row],[Effective Due]]-AsOf)</f>
        <v/>
      </c>
      <c r="Q47"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47" s="56" t="str">
        <f>IF(tblMilestones[[#This Row],[Depends On]]="","",IFERROR(INDEX(tblMilestones[Status],MATCH(tblMilestones[[#This Row],[Depends On]],tblMilestones[ID],0)),"Not Found"))</f>
        <v/>
      </c>
      <c r="S47"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48">
      <c r="A48" s="52" t="n"/>
      <c r="B48" s="26" t="n"/>
      <c r="C48" s="52" t="n"/>
      <c r="D48" s="26" t="n"/>
      <c r="E48" s="52" t="n"/>
      <c r="F48" s="53" t="n"/>
      <c r="G48" s="53" t="n"/>
      <c r="H48" s="52" t="n"/>
      <c r="I48" s="53" t="n"/>
      <c r="J48" s="52" t="n"/>
      <c r="K48" s="60" t="n"/>
      <c r="L48" s="26" t="n"/>
      <c r="M48" s="58" t="str">
        <f>IF(AND(tblMilestones[[#This Row],[Due Date]]="",tblMilestones[[#This Row],[Revised Due Date]]=""),"",IF(tblMilestones[[#This Row],[Revised Due Date]]&lt;&gt;"",tblMilestones[[#This Row],[Revised Due Date]],tblMilestones[[#This Row],[Due Date]]))</f>
        <v/>
      </c>
      <c r="N48" s="59" t="str">
        <f>IF(tblMilestones[[#This Row],[Effective Due]]="","","Q"&amp;(INT(MOD(MONTH(tblMilestones[[#This Row],[Effective Due]])-StartMonth,12)/3)+1))</f>
        <v/>
      </c>
      <c r="O48" s="54" t="str">
        <f>IF(OR(tblMilestones[[#This Row],[Revised Due Date]]="",tblMilestones[[#This Row],[Due Date]]=""),"",tblMilestones[[#This Row],[Revised Due Date]]-tblMilestones[[#This Row],[Due Date]])</f>
        <v/>
      </c>
      <c r="P48" s="54" t="str">
        <f>IF(OR(tblMilestones[[#This Row],[Effective Due]]="",tblMilestones[[#This Row],[Status]]="Complete"),"",tblMilestones[[#This Row],[Effective Due]]-AsOf)</f>
        <v/>
      </c>
      <c r="Q48"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48" s="56" t="str">
        <f>IF(tblMilestones[[#This Row],[Depends On]]="","",IFERROR(INDEX(tblMilestones[Status],MATCH(tblMilestones[[#This Row],[Depends On]],tblMilestones[ID],0)),"Not Found"))</f>
        <v/>
      </c>
      <c r="S48"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49">
      <c r="A49" s="52" t="n"/>
      <c r="B49" s="26" t="n"/>
      <c r="C49" s="52" t="n"/>
      <c r="D49" s="26" t="n"/>
      <c r="E49" s="52" t="n"/>
      <c r="F49" s="53" t="n"/>
      <c r="G49" s="53" t="n"/>
      <c r="H49" s="52" t="n"/>
      <c r="I49" s="53" t="n"/>
      <c r="J49" s="52" t="n"/>
      <c r="K49" s="60" t="n"/>
      <c r="L49" s="26" t="n"/>
      <c r="M49" s="58" t="str">
        <f>IF(AND(tblMilestones[[#This Row],[Due Date]]="",tblMilestones[[#This Row],[Revised Due Date]]=""),"",IF(tblMilestones[[#This Row],[Revised Due Date]]&lt;&gt;"",tblMilestones[[#This Row],[Revised Due Date]],tblMilestones[[#This Row],[Due Date]]))</f>
        <v/>
      </c>
      <c r="N49" s="59" t="str">
        <f>IF(tblMilestones[[#This Row],[Effective Due]]="","","Q"&amp;(INT(MOD(MONTH(tblMilestones[[#This Row],[Effective Due]])-StartMonth,12)/3)+1))</f>
        <v/>
      </c>
      <c r="O49" s="54" t="str">
        <f>IF(OR(tblMilestones[[#This Row],[Revised Due Date]]="",tblMilestones[[#This Row],[Due Date]]=""),"",tblMilestones[[#This Row],[Revised Due Date]]-tblMilestones[[#This Row],[Due Date]])</f>
        <v/>
      </c>
      <c r="P49" s="54" t="str">
        <f>IF(OR(tblMilestones[[#This Row],[Effective Due]]="",tblMilestones[[#This Row],[Status]]="Complete"),"",tblMilestones[[#This Row],[Effective Due]]-AsOf)</f>
        <v/>
      </c>
      <c r="Q49"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49" s="56" t="str">
        <f>IF(tblMilestones[[#This Row],[Depends On]]="","",IFERROR(INDEX(tblMilestones[Status],MATCH(tblMilestones[[#This Row],[Depends On]],tblMilestones[ID],0)),"Not Found"))</f>
        <v/>
      </c>
      <c r="S49"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50">
      <c r="A50" s="52" t="n"/>
      <c r="B50" s="26" t="n"/>
      <c r="C50" s="52" t="n"/>
      <c r="D50" s="26" t="n"/>
      <c r="E50" s="52" t="n"/>
      <c r="F50" s="53" t="n"/>
      <c r="G50" s="53" t="n"/>
      <c r="H50" s="52" t="n"/>
      <c r="I50" s="53" t="n"/>
      <c r="J50" s="52" t="n"/>
      <c r="K50" s="60" t="n"/>
      <c r="L50" s="26" t="n"/>
      <c r="M50" s="58" t="str">
        <f>IF(AND(tblMilestones[[#This Row],[Due Date]]="",tblMilestones[[#This Row],[Revised Due Date]]=""),"",IF(tblMilestones[[#This Row],[Revised Due Date]]&lt;&gt;"",tblMilestones[[#This Row],[Revised Due Date]],tblMilestones[[#This Row],[Due Date]]))</f>
        <v/>
      </c>
      <c r="N50" s="59" t="str">
        <f>IF(tblMilestones[[#This Row],[Effective Due]]="","","Q"&amp;(INT(MOD(MONTH(tblMilestones[[#This Row],[Effective Due]])-StartMonth,12)/3)+1))</f>
        <v/>
      </c>
      <c r="O50" s="54" t="str">
        <f>IF(OR(tblMilestones[[#This Row],[Revised Due Date]]="",tblMilestones[[#This Row],[Due Date]]=""),"",tblMilestones[[#This Row],[Revised Due Date]]-tblMilestones[[#This Row],[Due Date]])</f>
        <v/>
      </c>
      <c r="P50" s="54" t="str">
        <f>IF(OR(tblMilestones[[#This Row],[Effective Due]]="",tblMilestones[[#This Row],[Status]]="Complete"),"",tblMilestones[[#This Row],[Effective Due]]-AsOf)</f>
        <v/>
      </c>
      <c r="Q50"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50" s="56" t="str">
        <f>IF(tblMilestones[[#This Row],[Depends On]]="","",IFERROR(INDEX(tblMilestones[Status],MATCH(tblMilestones[[#This Row],[Depends On]],tblMilestones[ID],0)),"Not Found"))</f>
        <v/>
      </c>
      <c r="S50"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51">
      <c r="A51" s="52" t="n"/>
      <c r="B51" s="26" t="n"/>
      <c r="C51" s="52" t="n"/>
      <c r="D51" s="26" t="n"/>
      <c r="E51" s="52" t="n"/>
      <c r="F51" s="53" t="n"/>
      <c r="G51" s="53" t="n"/>
      <c r="H51" s="52" t="n"/>
      <c r="I51" s="53" t="n"/>
      <c r="J51" s="52" t="n"/>
      <c r="K51" s="60" t="n"/>
      <c r="L51" s="26" t="n"/>
      <c r="M51" s="58" t="str">
        <f>IF(AND(tblMilestones[[#This Row],[Due Date]]="",tblMilestones[[#This Row],[Revised Due Date]]=""),"",IF(tblMilestones[[#This Row],[Revised Due Date]]&lt;&gt;"",tblMilestones[[#This Row],[Revised Due Date]],tblMilestones[[#This Row],[Due Date]]))</f>
        <v/>
      </c>
      <c r="N51" s="59" t="str">
        <f>IF(tblMilestones[[#This Row],[Effective Due]]="","","Q"&amp;(INT(MOD(MONTH(tblMilestones[[#This Row],[Effective Due]])-StartMonth,12)/3)+1))</f>
        <v/>
      </c>
      <c r="O51" s="54" t="str">
        <f>IF(OR(tblMilestones[[#This Row],[Revised Due Date]]="",tblMilestones[[#This Row],[Due Date]]=""),"",tblMilestones[[#This Row],[Revised Due Date]]-tblMilestones[[#This Row],[Due Date]])</f>
        <v/>
      </c>
      <c r="P51" s="54" t="str">
        <f>IF(OR(tblMilestones[[#This Row],[Effective Due]]="",tblMilestones[[#This Row],[Status]]="Complete"),"",tblMilestones[[#This Row],[Effective Due]]-AsOf)</f>
        <v/>
      </c>
      <c r="Q51"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51" s="56" t="str">
        <f>IF(tblMilestones[[#This Row],[Depends On]]="","",IFERROR(INDEX(tblMilestones[Status],MATCH(tblMilestones[[#This Row],[Depends On]],tblMilestones[ID],0)),"Not Found"))</f>
        <v/>
      </c>
      <c r="S51"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52">
      <c r="A52" s="52" t="n"/>
      <c r="B52" s="26" t="n"/>
      <c r="C52" s="52" t="n"/>
      <c r="D52" s="26" t="n"/>
      <c r="E52" s="52" t="n"/>
      <c r="F52" s="53" t="n"/>
      <c r="G52" s="53" t="n"/>
      <c r="H52" s="52" t="n"/>
      <c r="I52" s="53" t="n"/>
      <c r="J52" s="52" t="n"/>
      <c r="K52" s="60" t="n"/>
      <c r="L52" s="26" t="n"/>
      <c r="M52" s="58" t="str">
        <f>IF(AND(tblMilestones[[#This Row],[Due Date]]="",tblMilestones[[#This Row],[Revised Due Date]]=""),"",IF(tblMilestones[[#This Row],[Revised Due Date]]&lt;&gt;"",tblMilestones[[#This Row],[Revised Due Date]],tblMilestones[[#This Row],[Due Date]]))</f>
        <v/>
      </c>
      <c r="N52" s="59" t="str">
        <f>IF(tblMilestones[[#This Row],[Effective Due]]="","","Q"&amp;(INT(MOD(MONTH(tblMilestones[[#This Row],[Effective Due]])-StartMonth,12)/3)+1))</f>
        <v/>
      </c>
      <c r="O52" s="54" t="str">
        <f>IF(OR(tblMilestones[[#This Row],[Revised Due Date]]="",tblMilestones[[#This Row],[Due Date]]=""),"",tblMilestones[[#This Row],[Revised Due Date]]-tblMilestones[[#This Row],[Due Date]])</f>
        <v/>
      </c>
      <c r="P52" s="54" t="str">
        <f>IF(OR(tblMilestones[[#This Row],[Effective Due]]="",tblMilestones[[#This Row],[Status]]="Complete"),"",tblMilestones[[#This Row],[Effective Due]]-AsOf)</f>
        <v/>
      </c>
      <c r="Q52"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52" s="56" t="str">
        <f>IF(tblMilestones[[#This Row],[Depends On]]="","",IFERROR(INDEX(tblMilestones[Status],MATCH(tblMilestones[[#This Row],[Depends On]],tblMilestones[ID],0)),"Not Found"))</f>
        <v/>
      </c>
      <c r="S52"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53">
      <c r="A53" s="52" t="n"/>
      <c r="B53" s="26" t="n"/>
      <c r="C53" s="52" t="n"/>
      <c r="D53" s="26" t="n"/>
      <c r="E53" s="52" t="n"/>
      <c r="F53" s="53" t="n"/>
      <c r="G53" s="53" t="n"/>
      <c r="H53" s="52" t="n"/>
      <c r="I53" s="53" t="n"/>
      <c r="J53" s="52" t="n"/>
      <c r="K53" s="60" t="n"/>
      <c r="L53" s="26" t="n"/>
      <c r="M53" s="58" t="str">
        <f>IF(AND(tblMilestones[[#This Row],[Due Date]]="",tblMilestones[[#This Row],[Revised Due Date]]=""),"",IF(tblMilestones[[#This Row],[Revised Due Date]]&lt;&gt;"",tblMilestones[[#This Row],[Revised Due Date]],tblMilestones[[#This Row],[Due Date]]))</f>
        <v/>
      </c>
      <c r="N53" s="59" t="str">
        <f>IF(tblMilestones[[#This Row],[Effective Due]]="","","Q"&amp;(INT(MOD(MONTH(tblMilestones[[#This Row],[Effective Due]])-StartMonth,12)/3)+1))</f>
        <v/>
      </c>
      <c r="O53" s="54" t="str">
        <f>IF(OR(tblMilestones[[#This Row],[Revised Due Date]]="",tblMilestones[[#This Row],[Due Date]]=""),"",tblMilestones[[#This Row],[Revised Due Date]]-tblMilestones[[#This Row],[Due Date]])</f>
        <v/>
      </c>
      <c r="P53" s="54" t="str">
        <f>IF(OR(tblMilestones[[#This Row],[Effective Due]]="",tblMilestones[[#This Row],[Status]]="Complete"),"",tblMilestones[[#This Row],[Effective Due]]-AsOf)</f>
        <v/>
      </c>
      <c r="Q53"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53" s="56" t="str">
        <f>IF(tblMilestones[[#This Row],[Depends On]]="","",IFERROR(INDEX(tblMilestones[Status],MATCH(tblMilestones[[#This Row],[Depends On]],tblMilestones[ID],0)),"Not Found"))</f>
        <v/>
      </c>
      <c r="S53"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54">
      <c r="A54" s="52" t="n"/>
      <c r="B54" s="26" t="n"/>
      <c r="C54" s="52" t="n"/>
      <c r="D54" s="26" t="n"/>
      <c r="E54" s="52" t="n"/>
      <c r="F54" s="53" t="n"/>
      <c r="G54" s="53" t="n"/>
      <c r="H54" s="52" t="n"/>
      <c r="I54" s="53" t="n"/>
      <c r="J54" s="52" t="n"/>
      <c r="K54" s="60" t="n"/>
      <c r="L54" s="26" t="n"/>
      <c r="M54" s="58" t="str">
        <f>IF(AND(tblMilestones[[#This Row],[Due Date]]="",tblMilestones[[#This Row],[Revised Due Date]]=""),"",IF(tblMilestones[[#This Row],[Revised Due Date]]&lt;&gt;"",tblMilestones[[#This Row],[Revised Due Date]],tblMilestones[[#This Row],[Due Date]]))</f>
        <v/>
      </c>
      <c r="N54" s="59" t="str">
        <f>IF(tblMilestones[[#This Row],[Effective Due]]="","","Q"&amp;(INT(MOD(MONTH(tblMilestones[[#This Row],[Effective Due]])-StartMonth,12)/3)+1))</f>
        <v/>
      </c>
      <c r="O54" s="54" t="str">
        <f>IF(OR(tblMilestones[[#This Row],[Revised Due Date]]="",tblMilestones[[#This Row],[Due Date]]=""),"",tblMilestones[[#This Row],[Revised Due Date]]-tblMilestones[[#This Row],[Due Date]])</f>
        <v/>
      </c>
      <c r="P54" s="54" t="str">
        <f>IF(OR(tblMilestones[[#This Row],[Effective Due]]="",tblMilestones[[#This Row],[Status]]="Complete"),"",tblMilestones[[#This Row],[Effective Due]]-AsOf)</f>
        <v/>
      </c>
      <c r="Q54"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54" s="56" t="str">
        <f>IF(tblMilestones[[#This Row],[Depends On]]="","",IFERROR(INDEX(tblMilestones[Status],MATCH(tblMilestones[[#This Row],[Depends On]],tblMilestones[ID],0)),"Not Found"))</f>
        <v/>
      </c>
      <c r="S54"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55">
      <c r="A55" s="52" t="n"/>
      <c r="B55" s="26" t="n"/>
      <c r="C55" s="52" t="n"/>
      <c r="D55" s="26" t="n"/>
      <c r="E55" s="52" t="n"/>
      <c r="F55" s="53" t="n"/>
      <c r="G55" s="53" t="n"/>
      <c r="H55" s="52" t="n"/>
      <c r="I55" s="53" t="n"/>
      <c r="J55" s="52" t="n"/>
      <c r="K55" s="60" t="n"/>
      <c r="L55" s="26" t="n"/>
      <c r="M55" s="58" t="str">
        <f>IF(AND(tblMilestones[[#This Row],[Due Date]]="",tblMilestones[[#This Row],[Revised Due Date]]=""),"",IF(tblMilestones[[#This Row],[Revised Due Date]]&lt;&gt;"",tblMilestones[[#This Row],[Revised Due Date]],tblMilestones[[#This Row],[Due Date]]))</f>
        <v/>
      </c>
      <c r="N55" s="59" t="str">
        <f>IF(tblMilestones[[#This Row],[Effective Due]]="","","Q"&amp;(INT(MOD(MONTH(tblMilestones[[#This Row],[Effective Due]])-StartMonth,12)/3)+1))</f>
        <v/>
      </c>
      <c r="O55" s="54" t="str">
        <f>IF(OR(tblMilestones[[#This Row],[Revised Due Date]]="",tblMilestones[[#This Row],[Due Date]]=""),"",tblMilestones[[#This Row],[Revised Due Date]]-tblMilestones[[#This Row],[Due Date]])</f>
        <v/>
      </c>
      <c r="P55" s="54" t="str">
        <f>IF(OR(tblMilestones[[#This Row],[Effective Due]]="",tblMilestones[[#This Row],[Status]]="Complete"),"",tblMilestones[[#This Row],[Effective Due]]-AsOf)</f>
        <v/>
      </c>
      <c r="Q55"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55" s="56" t="str">
        <f>IF(tblMilestones[[#This Row],[Depends On]]="","",IFERROR(INDEX(tblMilestones[Status],MATCH(tblMilestones[[#This Row],[Depends On]],tblMilestones[ID],0)),"Not Found"))</f>
        <v/>
      </c>
      <c r="S55"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56">
      <c r="A56" s="52" t="n"/>
      <c r="B56" s="26" t="n"/>
      <c r="C56" s="52" t="n"/>
      <c r="D56" s="26" t="n"/>
      <c r="E56" s="52" t="n"/>
      <c r="F56" s="53" t="n"/>
      <c r="G56" s="53" t="n"/>
      <c r="H56" s="52" t="n"/>
      <c r="I56" s="53" t="n"/>
      <c r="J56" s="52" t="n"/>
      <c r="K56" s="60" t="n"/>
      <c r="L56" s="26" t="n"/>
      <c r="M56" s="58" t="str">
        <f>IF(AND(tblMilestones[[#This Row],[Due Date]]="",tblMilestones[[#This Row],[Revised Due Date]]=""),"",IF(tblMilestones[[#This Row],[Revised Due Date]]&lt;&gt;"",tblMilestones[[#This Row],[Revised Due Date]],tblMilestones[[#This Row],[Due Date]]))</f>
        <v/>
      </c>
      <c r="N56" s="59" t="str">
        <f>IF(tblMilestones[[#This Row],[Effective Due]]="","","Q"&amp;(INT(MOD(MONTH(tblMilestones[[#This Row],[Effective Due]])-StartMonth,12)/3)+1))</f>
        <v/>
      </c>
      <c r="O56" s="54" t="str">
        <f>IF(OR(tblMilestones[[#This Row],[Revised Due Date]]="",tblMilestones[[#This Row],[Due Date]]=""),"",tblMilestones[[#This Row],[Revised Due Date]]-tblMilestones[[#This Row],[Due Date]])</f>
        <v/>
      </c>
      <c r="P56" s="54" t="str">
        <f>IF(OR(tblMilestones[[#This Row],[Effective Due]]="",tblMilestones[[#This Row],[Status]]="Complete"),"",tblMilestones[[#This Row],[Effective Due]]-AsOf)</f>
        <v/>
      </c>
      <c r="Q56"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56" s="56" t="str">
        <f>IF(tblMilestones[[#This Row],[Depends On]]="","",IFERROR(INDEX(tblMilestones[Status],MATCH(tblMilestones[[#This Row],[Depends On]],tblMilestones[ID],0)),"Not Found"))</f>
        <v/>
      </c>
      <c r="S56"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57">
      <c r="A57" s="52" t="n"/>
      <c r="B57" s="26" t="n"/>
      <c r="C57" s="52" t="n"/>
      <c r="D57" s="26" t="n"/>
      <c r="E57" s="52" t="n"/>
      <c r="F57" s="53" t="n"/>
      <c r="G57" s="53" t="n"/>
      <c r="H57" s="52" t="n"/>
      <c r="I57" s="53" t="n"/>
      <c r="J57" s="52" t="n"/>
      <c r="K57" s="60" t="n"/>
      <c r="L57" s="26" t="n"/>
      <c r="M57" s="58" t="str">
        <f>IF(AND(tblMilestones[[#This Row],[Due Date]]="",tblMilestones[[#This Row],[Revised Due Date]]=""),"",IF(tblMilestones[[#This Row],[Revised Due Date]]&lt;&gt;"",tblMilestones[[#This Row],[Revised Due Date]],tblMilestones[[#This Row],[Due Date]]))</f>
        <v/>
      </c>
      <c r="N57" s="59" t="str">
        <f>IF(tblMilestones[[#This Row],[Effective Due]]="","","Q"&amp;(INT(MOD(MONTH(tblMilestones[[#This Row],[Effective Due]])-StartMonth,12)/3)+1))</f>
        <v/>
      </c>
      <c r="O57" s="54" t="str">
        <f>IF(OR(tblMilestones[[#This Row],[Revised Due Date]]="",tblMilestones[[#This Row],[Due Date]]=""),"",tblMilestones[[#This Row],[Revised Due Date]]-tblMilestones[[#This Row],[Due Date]])</f>
        <v/>
      </c>
      <c r="P57" s="54" t="str">
        <f>IF(OR(tblMilestones[[#This Row],[Effective Due]]="",tblMilestones[[#This Row],[Status]]="Complete"),"",tblMilestones[[#This Row],[Effective Due]]-AsOf)</f>
        <v/>
      </c>
      <c r="Q57"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57" s="56" t="str">
        <f>IF(tblMilestones[[#This Row],[Depends On]]="","",IFERROR(INDEX(tblMilestones[Status],MATCH(tblMilestones[[#This Row],[Depends On]],tblMilestones[ID],0)),"Not Found"))</f>
        <v/>
      </c>
      <c r="S57"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58">
      <c r="A58" s="52" t="n"/>
      <c r="B58" s="26" t="n"/>
      <c r="C58" s="52" t="n"/>
      <c r="D58" s="26" t="n"/>
      <c r="E58" s="52" t="n"/>
      <c r="F58" s="53" t="n"/>
      <c r="G58" s="53" t="n"/>
      <c r="H58" s="52" t="n"/>
      <c r="I58" s="53" t="n"/>
      <c r="J58" s="52" t="n"/>
      <c r="K58" s="60" t="n"/>
      <c r="L58" s="26" t="n"/>
      <c r="M58" s="58" t="str">
        <f>IF(AND(tblMilestones[[#This Row],[Due Date]]="",tblMilestones[[#This Row],[Revised Due Date]]=""),"",IF(tblMilestones[[#This Row],[Revised Due Date]]&lt;&gt;"",tblMilestones[[#This Row],[Revised Due Date]],tblMilestones[[#This Row],[Due Date]]))</f>
        <v/>
      </c>
      <c r="N58" s="59" t="str">
        <f>IF(tblMilestones[[#This Row],[Effective Due]]="","","Q"&amp;(INT(MOD(MONTH(tblMilestones[[#This Row],[Effective Due]])-StartMonth,12)/3)+1))</f>
        <v/>
      </c>
      <c r="O58" s="54" t="str">
        <f>IF(OR(tblMilestones[[#This Row],[Revised Due Date]]="",tblMilestones[[#This Row],[Due Date]]=""),"",tblMilestones[[#This Row],[Revised Due Date]]-tblMilestones[[#This Row],[Due Date]])</f>
        <v/>
      </c>
      <c r="P58" s="54" t="str">
        <f>IF(OR(tblMilestones[[#This Row],[Effective Due]]="",tblMilestones[[#This Row],[Status]]="Complete"),"",tblMilestones[[#This Row],[Effective Due]]-AsOf)</f>
        <v/>
      </c>
      <c r="Q58"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58" s="56" t="str">
        <f>IF(tblMilestones[[#This Row],[Depends On]]="","",IFERROR(INDEX(tblMilestones[Status],MATCH(tblMilestones[[#This Row],[Depends On]],tblMilestones[ID],0)),"Not Found"))</f>
        <v/>
      </c>
      <c r="S58"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59">
      <c r="A59" s="52" t="n"/>
      <c r="B59" s="26" t="n"/>
      <c r="C59" s="52" t="n"/>
      <c r="D59" s="26" t="n"/>
      <c r="E59" s="52" t="n"/>
      <c r="F59" s="53" t="n"/>
      <c r="G59" s="53" t="n"/>
      <c r="H59" s="52" t="n"/>
      <c r="I59" s="53" t="n"/>
      <c r="J59" s="52" t="n"/>
      <c r="K59" s="60" t="n"/>
      <c r="L59" s="26" t="n"/>
      <c r="M59" s="58" t="str">
        <f>IF(AND(tblMilestones[[#This Row],[Due Date]]="",tblMilestones[[#This Row],[Revised Due Date]]=""),"",IF(tblMilestones[[#This Row],[Revised Due Date]]&lt;&gt;"",tblMilestones[[#This Row],[Revised Due Date]],tblMilestones[[#This Row],[Due Date]]))</f>
        <v/>
      </c>
      <c r="N59" s="59" t="str">
        <f>IF(tblMilestones[[#This Row],[Effective Due]]="","","Q"&amp;(INT(MOD(MONTH(tblMilestones[[#This Row],[Effective Due]])-StartMonth,12)/3)+1))</f>
        <v/>
      </c>
      <c r="O59" s="54" t="str">
        <f>IF(OR(tblMilestones[[#This Row],[Revised Due Date]]="",tblMilestones[[#This Row],[Due Date]]=""),"",tblMilestones[[#This Row],[Revised Due Date]]-tblMilestones[[#This Row],[Due Date]])</f>
        <v/>
      </c>
      <c r="P59" s="54" t="str">
        <f>IF(OR(tblMilestones[[#This Row],[Effective Due]]="",tblMilestones[[#This Row],[Status]]="Complete"),"",tblMilestones[[#This Row],[Effective Due]]-AsOf)</f>
        <v/>
      </c>
      <c r="Q59"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59" s="56" t="str">
        <f>IF(tblMilestones[[#This Row],[Depends On]]="","",IFERROR(INDEX(tblMilestones[Status],MATCH(tblMilestones[[#This Row],[Depends On]],tblMilestones[ID],0)),"Not Found"))</f>
        <v/>
      </c>
      <c r="S59"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60">
      <c r="A60" s="52" t="n"/>
      <c r="B60" s="26" t="n"/>
      <c r="C60" s="52" t="n"/>
      <c r="D60" s="26" t="n"/>
      <c r="E60" s="52" t="n"/>
      <c r="F60" s="53" t="n"/>
      <c r="G60" s="53" t="n"/>
      <c r="H60" s="52" t="n"/>
      <c r="I60" s="53" t="n"/>
      <c r="J60" s="52" t="n"/>
      <c r="K60" s="60" t="n"/>
      <c r="L60" s="26" t="n"/>
      <c r="M60" s="58" t="str">
        <f>IF(AND(tblMilestones[[#This Row],[Due Date]]="",tblMilestones[[#This Row],[Revised Due Date]]=""),"",IF(tblMilestones[[#This Row],[Revised Due Date]]&lt;&gt;"",tblMilestones[[#This Row],[Revised Due Date]],tblMilestones[[#This Row],[Due Date]]))</f>
        <v/>
      </c>
      <c r="N60" s="59" t="str">
        <f>IF(tblMilestones[[#This Row],[Effective Due]]="","","Q"&amp;(INT(MOD(MONTH(tblMilestones[[#This Row],[Effective Due]])-StartMonth,12)/3)+1))</f>
        <v/>
      </c>
      <c r="O60" s="54" t="str">
        <f>IF(OR(tblMilestones[[#This Row],[Revised Due Date]]="",tblMilestones[[#This Row],[Due Date]]=""),"",tblMilestones[[#This Row],[Revised Due Date]]-tblMilestones[[#This Row],[Due Date]])</f>
        <v/>
      </c>
      <c r="P60" s="54" t="str">
        <f>IF(OR(tblMilestones[[#This Row],[Effective Due]]="",tblMilestones[[#This Row],[Status]]="Complete"),"",tblMilestones[[#This Row],[Effective Due]]-AsOf)</f>
        <v/>
      </c>
      <c r="Q60"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60" s="56" t="str">
        <f>IF(tblMilestones[[#This Row],[Depends On]]="","",IFERROR(INDEX(tblMilestones[Status],MATCH(tblMilestones[[#This Row],[Depends On]],tblMilestones[ID],0)),"Not Found"))</f>
        <v/>
      </c>
      <c r="S60"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61">
      <c r="A61" s="52" t="n"/>
      <c r="B61" s="26" t="n"/>
      <c r="C61" s="52" t="n"/>
      <c r="D61" s="26" t="n"/>
      <c r="E61" s="52" t="n"/>
      <c r="F61" s="53" t="n"/>
      <c r="G61" s="53" t="n"/>
      <c r="H61" s="52" t="n"/>
      <c r="I61" s="53" t="n"/>
      <c r="J61" s="52" t="n"/>
      <c r="K61" s="60" t="n"/>
      <c r="L61" s="26" t="n"/>
      <c r="M61" s="58" t="str">
        <f>IF(AND(tblMilestones[[#This Row],[Due Date]]="",tblMilestones[[#This Row],[Revised Due Date]]=""),"",IF(tblMilestones[[#This Row],[Revised Due Date]]&lt;&gt;"",tblMilestones[[#This Row],[Revised Due Date]],tblMilestones[[#This Row],[Due Date]]))</f>
        <v/>
      </c>
      <c r="N61" s="59" t="str">
        <f>IF(tblMilestones[[#This Row],[Effective Due]]="","","Q"&amp;(INT(MOD(MONTH(tblMilestones[[#This Row],[Effective Due]])-StartMonth,12)/3)+1))</f>
        <v/>
      </c>
      <c r="O61" s="54" t="str">
        <f>IF(OR(tblMilestones[[#This Row],[Revised Due Date]]="",tblMilestones[[#This Row],[Due Date]]=""),"",tblMilestones[[#This Row],[Revised Due Date]]-tblMilestones[[#This Row],[Due Date]])</f>
        <v/>
      </c>
      <c r="P61" s="54" t="str">
        <f>IF(OR(tblMilestones[[#This Row],[Effective Due]]="",tblMilestones[[#This Row],[Status]]="Complete"),"",tblMilestones[[#This Row],[Effective Due]]-AsOf)</f>
        <v/>
      </c>
      <c r="Q61"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61" s="56" t="str">
        <f>IF(tblMilestones[[#This Row],[Depends On]]="","",IFERROR(INDEX(tblMilestones[Status],MATCH(tblMilestones[[#This Row],[Depends On]],tblMilestones[ID],0)),"Not Found"))</f>
        <v/>
      </c>
      <c r="S61"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62">
      <c r="A62" s="52" t="n"/>
      <c r="B62" s="26" t="n"/>
      <c r="C62" s="52" t="n"/>
      <c r="D62" s="26" t="n"/>
      <c r="E62" s="52" t="n"/>
      <c r="F62" s="53" t="n"/>
      <c r="G62" s="53" t="n"/>
      <c r="H62" s="52" t="n"/>
      <c r="I62" s="53" t="n"/>
      <c r="J62" s="52" t="n"/>
      <c r="K62" s="60" t="n"/>
      <c r="L62" s="26" t="n"/>
      <c r="M62" s="58" t="str">
        <f>IF(AND(tblMilestones[[#This Row],[Due Date]]="",tblMilestones[[#This Row],[Revised Due Date]]=""),"",IF(tblMilestones[[#This Row],[Revised Due Date]]&lt;&gt;"",tblMilestones[[#This Row],[Revised Due Date]],tblMilestones[[#This Row],[Due Date]]))</f>
        <v/>
      </c>
      <c r="N62" s="59" t="str">
        <f>IF(tblMilestones[[#This Row],[Effective Due]]="","","Q"&amp;(INT(MOD(MONTH(tblMilestones[[#This Row],[Effective Due]])-StartMonth,12)/3)+1))</f>
        <v/>
      </c>
      <c r="O62" s="54" t="str">
        <f>IF(OR(tblMilestones[[#This Row],[Revised Due Date]]="",tblMilestones[[#This Row],[Due Date]]=""),"",tblMilestones[[#This Row],[Revised Due Date]]-tblMilestones[[#This Row],[Due Date]])</f>
        <v/>
      </c>
      <c r="P62" s="54" t="str">
        <f>IF(OR(tblMilestones[[#This Row],[Effective Due]]="",tblMilestones[[#This Row],[Status]]="Complete"),"",tblMilestones[[#This Row],[Effective Due]]-AsOf)</f>
        <v/>
      </c>
      <c r="Q62"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62" s="56" t="str">
        <f>IF(tblMilestones[[#This Row],[Depends On]]="","",IFERROR(INDEX(tblMilestones[Status],MATCH(tblMilestones[[#This Row],[Depends On]],tblMilestones[ID],0)),"Not Found"))</f>
        <v/>
      </c>
      <c r="S62"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63">
      <c r="A63" s="52" t="n"/>
      <c r="B63" s="26" t="n"/>
      <c r="C63" s="52" t="n"/>
      <c r="D63" s="26" t="n"/>
      <c r="E63" s="52" t="n"/>
      <c r="F63" s="53" t="n"/>
      <c r="G63" s="53" t="n"/>
      <c r="H63" s="52" t="n"/>
      <c r="I63" s="53" t="n"/>
      <c r="J63" s="52" t="n"/>
      <c r="K63" s="60" t="n"/>
      <c r="L63" s="26" t="n"/>
      <c r="M63" s="58" t="str">
        <f>IF(AND(tblMilestones[[#This Row],[Due Date]]="",tblMilestones[[#This Row],[Revised Due Date]]=""),"",IF(tblMilestones[[#This Row],[Revised Due Date]]&lt;&gt;"",tblMilestones[[#This Row],[Revised Due Date]],tblMilestones[[#This Row],[Due Date]]))</f>
        <v/>
      </c>
      <c r="N63" s="59" t="str">
        <f>IF(tblMilestones[[#This Row],[Effective Due]]="","","Q"&amp;(INT(MOD(MONTH(tblMilestones[[#This Row],[Effective Due]])-StartMonth,12)/3)+1))</f>
        <v/>
      </c>
      <c r="O63" s="54" t="str">
        <f>IF(OR(tblMilestones[[#This Row],[Revised Due Date]]="",tblMilestones[[#This Row],[Due Date]]=""),"",tblMilestones[[#This Row],[Revised Due Date]]-tblMilestones[[#This Row],[Due Date]])</f>
        <v/>
      </c>
      <c r="P63" s="54" t="str">
        <f>IF(OR(tblMilestones[[#This Row],[Effective Due]]="",tblMilestones[[#This Row],[Status]]="Complete"),"",tblMilestones[[#This Row],[Effective Due]]-AsOf)</f>
        <v/>
      </c>
      <c r="Q63"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63" s="56" t="str">
        <f>IF(tblMilestones[[#This Row],[Depends On]]="","",IFERROR(INDEX(tblMilestones[Status],MATCH(tblMilestones[[#This Row],[Depends On]],tblMilestones[ID],0)),"Not Found"))</f>
        <v/>
      </c>
      <c r="S63"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64">
      <c r="A64" s="52" t="n"/>
      <c r="B64" s="26" t="n"/>
      <c r="C64" s="52" t="n"/>
      <c r="D64" s="26" t="n"/>
      <c r="E64" s="52" t="n"/>
      <c r="F64" s="53" t="n"/>
      <c r="G64" s="53" t="n"/>
      <c r="H64" s="52" t="n"/>
      <c r="I64" s="53" t="n"/>
      <c r="J64" s="52" t="n"/>
      <c r="K64" s="60" t="n"/>
      <c r="L64" s="26" t="n"/>
      <c r="M64" s="58" t="str">
        <f>IF(AND(tblMilestones[[#This Row],[Due Date]]="",tblMilestones[[#This Row],[Revised Due Date]]=""),"",IF(tblMilestones[[#This Row],[Revised Due Date]]&lt;&gt;"",tblMilestones[[#This Row],[Revised Due Date]],tblMilestones[[#This Row],[Due Date]]))</f>
        <v/>
      </c>
      <c r="N64" s="59" t="str">
        <f>IF(tblMilestones[[#This Row],[Effective Due]]="","","Q"&amp;(INT(MOD(MONTH(tblMilestones[[#This Row],[Effective Due]])-StartMonth,12)/3)+1))</f>
        <v/>
      </c>
      <c r="O64" s="54" t="str">
        <f>IF(OR(tblMilestones[[#This Row],[Revised Due Date]]="",tblMilestones[[#This Row],[Due Date]]=""),"",tblMilestones[[#This Row],[Revised Due Date]]-tblMilestones[[#This Row],[Due Date]])</f>
        <v/>
      </c>
      <c r="P64" s="54" t="str">
        <f>IF(OR(tblMilestones[[#This Row],[Effective Due]]="",tblMilestones[[#This Row],[Status]]="Complete"),"",tblMilestones[[#This Row],[Effective Due]]-AsOf)</f>
        <v/>
      </c>
      <c r="Q64"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64" s="56" t="str">
        <f>IF(tblMilestones[[#This Row],[Depends On]]="","",IFERROR(INDEX(tblMilestones[Status],MATCH(tblMilestones[[#This Row],[Depends On]],tblMilestones[ID],0)),"Not Found"))</f>
        <v/>
      </c>
      <c r="S64"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65">
      <c r="A65" s="52" t="n"/>
      <c r="B65" s="26" t="n"/>
      <c r="C65" s="52" t="n"/>
      <c r="D65" s="26" t="n"/>
      <c r="E65" s="52" t="n"/>
      <c r="F65" s="53" t="n"/>
      <c r="G65" s="53" t="n"/>
      <c r="H65" s="52" t="n"/>
      <c r="I65" s="53" t="n"/>
      <c r="J65" s="52" t="n"/>
      <c r="K65" s="60" t="n"/>
      <c r="L65" s="26" t="n"/>
      <c r="M65" s="58" t="str">
        <f>IF(AND(tblMilestones[[#This Row],[Due Date]]="",tblMilestones[[#This Row],[Revised Due Date]]=""),"",IF(tblMilestones[[#This Row],[Revised Due Date]]&lt;&gt;"",tblMilestones[[#This Row],[Revised Due Date]],tblMilestones[[#This Row],[Due Date]]))</f>
        <v/>
      </c>
      <c r="N65" s="59" t="str">
        <f>IF(tblMilestones[[#This Row],[Effective Due]]="","","Q"&amp;(INT(MOD(MONTH(tblMilestones[[#This Row],[Effective Due]])-StartMonth,12)/3)+1))</f>
        <v/>
      </c>
      <c r="O65" s="54" t="str">
        <f>IF(OR(tblMilestones[[#This Row],[Revised Due Date]]="",tblMilestones[[#This Row],[Due Date]]=""),"",tblMilestones[[#This Row],[Revised Due Date]]-tblMilestones[[#This Row],[Due Date]])</f>
        <v/>
      </c>
      <c r="P65" s="54" t="str">
        <f>IF(OR(tblMilestones[[#This Row],[Effective Due]]="",tblMilestones[[#This Row],[Status]]="Complete"),"",tblMilestones[[#This Row],[Effective Due]]-AsOf)</f>
        <v/>
      </c>
      <c r="Q65"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65" s="56" t="str">
        <f>IF(tblMilestones[[#This Row],[Depends On]]="","",IFERROR(INDEX(tblMilestones[Status],MATCH(tblMilestones[[#This Row],[Depends On]],tblMilestones[ID],0)),"Not Found"))</f>
        <v/>
      </c>
      <c r="S65"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66">
      <c r="A66" s="52" t="n"/>
      <c r="B66" s="26" t="n"/>
      <c r="C66" s="52" t="n"/>
      <c r="D66" s="26" t="n"/>
      <c r="E66" s="52" t="n"/>
      <c r="F66" s="53" t="n"/>
      <c r="G66" s="53" t="n"/>
      <c r="H66" s="52" t="n"/>
      <c r="I66" s="53" t="n"/>
      <c r="J66" s="52" t="n"/>
      <c r="K66" s="60" t="n"/>
      <c r="L66" s="26" t="n"/>
      <c r="M66" s="58" t="str">
        <f>IF(AND(tblMilestones[[#This Row],[Due Date]]="",tblMilestones[[#This Row],[Revised Due Date]]=""),"",IF(tblMilestones[[#This Row],[Revised Due Date]]&lt;&gt;"",tblMilestones[[#This Row],[Revised Due Date]],tblMilestones[[#This Row],[Due Date]]))</f>
        <v/>
      </c>
      <c r="N66" s="59" t="str">
        <f>IF(tblMilestones[[#This Row],[Effective Due]]="","","Q"&amp;(INT(MOD(MONTH(tblMilestones[[#This Row],[Effective Due]])-StartMonth,12)/3)+1))</f>
        <v/>
      </c>
      <c r="O66" s="54" t="str">
        <f>IF(OR(tblMilestones[[#This Row],[Revised Due Date]]="",tblMilestones[[#This Row],[Due Date]]=""),"",tblMilestones[[#This Row],[Revised Due Date]]-tblMilestones[[#This Row],[Due Date]])</f>
        <v/>
      </c>
      <c r="P66" s="54" t="str">
        <f>IF(OR(tblMilestones[[#This Row],[Effective Due]]="",tblMilestones[[#This Row],[Status]]="Complete"),"",tblMilestones[[#This Row],[Effective Due]]-AsOf)</f>
        <v/>
      </c>
      <c r="Q66"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66" s="56" t="str">
        <f>IF(tblMilestones[[#This Row],[Depends On]]="","",IFERROR(INDEX(tblMilestones[Status],MATCH(tblMilestones[[#This Row],[Depends On]],tblMilestones[ID],0)),"Not Found"))</f>
        <v/>
      </c>
      <c r="S66"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67">
      <c r="A67" s="52" t="n"/>
      <c r="B67" s="26" t="n"/>
      <c r="C67" s="52" t="n"/>
      <c r="D67" s="26" t="n"/>
      <c r="E67" s="52" t="n"/>
      <c r="F67" s="53" t="n"/>
      <c r="G67" s="53" t="n"/>
      <c r="H67" s="52" t="n"/>
      <c r="I67" s="53" t="n"/>
      <c r="J67" s="52" t="n"/>
      <c r="K67" s="60" t="n"/>
      <c r="L67" s="26" t="n"/>
      <c r="M67" s="58" t="str">
        <f>IF(AND(tblMilestones[[#This Row],[Due Date]]="",tblMilestones[[#This Row],[Revised Due Date]]=""),"",IF(tblMilestones[[#This Row],[Revised Due Date]]&lt;&gt;"",tblMilestones[[#This Row],[Revised Due Date]],tblMilestones[[#This Row],[Due Date]]))</f>
        <v/>
      </c>
      <c r="N67" s="59" t="str">
        <f>IF(tblMilestones[[#This Row],[Effective Due]]="","","Q"&amp;(INT(MOD(MONTH(tblMilestones[[#This Row],[Effective Due]])-StartMonth,12)/3)+1))</f>
        <v/>
      </c>
      <c r="O67" s="54" t="str">
        <f>IF(OR(tblMilestones[[#This Row],[Revised Due Date]]="",tblMilestones[[#This Row],[Due Date]]=""),"",tblMilestones[[#This Row],[Revised Due Date]]-tblMilestones[[#This Row],[Due Date]])</f>
        <v/>
      </c>
      <c r="P67" s="54" t="str">
        <f>IF(OR(tblMilestones[[#This Row],[Effective Due]]="",tblMilestones[[#This Row],[Status]]="Complete"),"",tblMilestones[[#This Row],[Effective Due]]-AsOf)</f>
        <v/>
      </c>
      <c r="Q67"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67" s="56" t="str">
        <f>IF(tblMilestones[[#This Row],[Depends On]]="","",IFERROR(INDEX(tblMilestones[Status],MATCH(tblMilestones[[#This Row],[Depends On]],tblMilestones[ID],0)),"Not Found"))</f>
        <v/>
      </c>
      <c r="S67"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68">
      <c r="A68" s="52" t="n"/>
      <c r="B68" s="26" t="n"/>
      <c r="C68" s="52" t="n"/>
      <c r="D68" s="26" t="n"/>
      <c r="E68" s="52" t="n"/>
      <c r="F68" s="53" t="n"/>
      <c r="G68" s="53" t="n"/>
      <c r="H68" s="52" t="n"/>
      <c r="I68" s="53" t="n"/>
      <c r="J68" s="52" t="n"/>
      <c r="K68" s="60" t="n"/>
      <c r="L68" s="26" t="n"/>
      <c r="M68" s="58" t="str">
        <f>IF(AND(tblMilestones[[#This Row],[Due Date]]="",tblMilestones[[#This Row],[Revised Due Date]]=""),"",IF(tblMilestones[[#This Row],[Revised Due Date]]&lt;&gt;"",tblMilestones[[#This Row],[Revised Due Date]],tblMilestones[[#This Row],[Due Date]]))</f>
        <v/>
      </c>
      <c r="N68" s="59" t="str">
        <f>IF(tblMilestones[[#This Row],[Effective Due]]="","","Q"&amp;(INT(MOD(MONTH(tblMilestones[[#This Row],[Effective Due]])-StartMonth,12)/3)+1))</f>
        <v/>
      </c>
      <c r="O68" s="54" t="str">
        <f>IF(OR(tblMilestones[[#This Row],[Revised Due Date]]="",tblMilestones[[#This Row],[Due Date]]=""),"",tblMilestones[[#This Row],[Revised Due Date]]-tblMilestones[[#This Row],[Due Date]])</f>
        <v/>
      </c>
      <c r="P68" s="54" t="str">
        <f>IF(OR(tblMilestones[[#This Row],[Effective Due]]="",tblMilestones[[#This Row],[Status]]="Complete"),"",tblMilestones[[#This Row],[Effective Due]]-AsOf)</f>
        <v/>
      </c>
      <c r="Q68"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68" s="56" t="str">
        <f>IF(tblMilestones[[#This Row],[Depends On]]="","",IFERROR(INDEX(tblMilestones[Status],MATCH(tblMilestones[[#This Row],[Depends On]],tblMilestones[ID],0)),"Not Found"))</f>
        <v/>
      </c>
      <c r="S68"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69">
      <c r="A69" s="52" t="n"/>
      <c r="B69" s="26" t="n"/>
      <c r="C69" s="52" t="n"/>
      <c r="D69" s="26" t="n"/>
      <c r="E69" s="52" t="n"/>
      <c r="F69" s="53" t="n"/>
      <c r="G69" s="53" t="n"/>
      <c r="H69" s="52" t="n"/>
      <c r="I69" s="53" t="n"/>
      <c r="J69" s="52" t="n"/>
      <c r="K69" s="60" t="n"/>
      <c r="L69" s="26" t="n"/>
      <c r="M69" s="58" t="str">
        <f>IF(AND(tblMilestones[[#This Row],[Due Date]]="",tblMilestones[[#This Row],[Revised Due Date]]=""),"",IF(tblMilestones[[#This Row],[Revised Due Date]]&lt;&gt;"",tblMilestones[[#This Row],[Revised Due Date]],tblMilestones[[#This Row],[Due Date]]))</f>
        <v/>
      </c>
      <c r="N69" s="59" t="str">
        <f>IF(tblMilestones[[#This Row],[Effective Due]]="","","Q"&amp;(INT(MOD(MONTH(tblMilestones[[#This Row],[Effective Due]])-StartMonth,12)/3)+1))</f>
        <v/>
      </c>
      <c r="O69" s="54" t="str">
        <f>IF(OR(tblMilestones[[#This Row],[Revised Due Date]]="",tblMilestones[[#This Row],[Due Date]]=""),"",tblMilestones[[#This Row],[Revised Due Date]]-tblMilestones[[#This Row],[Due Date]])</f>
        <v/>
      </c>
      <c r="P69" s="54" t="str">
        <f>IF(OR(tblMilestones[[#This Row],[Effective Due]]="",tblMilestones[[#This Row],[Status]]="Complete"),"",tblMilestones[[#This Row],[Effective Due]]-AsOf)</f>
        <v/>
      </c>
      <c r="Q69"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69" s="56" t="str">
        <f>IF(tblMilestones[[#This Row],[Depends On]]="","",IFERROR(INDEX(tblMilestones[Status],MATCH(tblMilestones[[#This Row],[Depends On]],tblMilestones[ID],0)),"Not Found"))</f>
        <v/>
      </c>
      <c r="S69"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70">
      <c r="A70" s="52" t="n"/>
      <c r="B70" s="26" t="n"/>
      <c r="C70" s="52" t="n"/>
      <c r="D70" s="26" t="n"/>
      <c r="E70" s="52" t="n"/>
      <c r="F70" s="53" t="n"/>
      <c r="G70" s="53" t="n"/>
      <c r="H70" s="52" t="n"/>
      <c r="I70" s="53" t="n"/>
      <c r="J70" s="52" t="n"/>
      <c r="K70" s="60" t="n"/>
      <c r="L70" s="26" t="n"/>
      <c r="M70" s="58" t="str">
        <f>IF(AND(tblMilestones[[#This Row],[Due Date]]="",tblMilestones[[#This Row],[Revised Due Date]]=""),"",IF(tblMilestones[[#This Row],[Revised Due Date]]&lt;&gt;"",tblMilestones[[#This Row],[Revised Due Date]],tblMilestones[[#This Row],[Due Date]]))</f>
        <v/>
      </c>
      <c r="N70" s="59" t="str">
        <f>IF(tblMilestones[[#This Row],[Effective Due]]="","","Q"&amp;(INT(MOD(MONTH(tblMilestones[[#This Row],[Effective Due]])-StartMonth,12)/3)+1))</f>
        <v/>
      </c>
      <c r="O70" s="54" t="str">
        <f>IF(OR(tblMilestones[[#This Row],[Revised Due Date]]="",tblMilestones[[#This Row],[Due Date]]=""),"",tblMilestones[[#This Row],[Revised Due Date]]-tblMilestones[[#This Row],[Due Date]])</f>
        <v/>
      </c>
      <c r="P70" s="54" t="str">
        <f>IF(OR(tblMilestones[[#This Row],[Effective Due]]="",tblMilestones[[#This Row],[Status]]="Complete"),"",tblMilestones[[#This Row],[Effective Due]]-AsOf)</f>
        <v/>
      </c>
      <c r="Q70"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70" s="56" t="str">
        <f>IF(tblMilestones[[#This Row],[Depends On]]="","",IFERROR(INDEX(tblMilestones[Status],MATCH(tblMilestones[[#This Row],[Depends On]],tblMilestones[ID],0)),"Not Found"))</f>
        <v/>
      </c>
      <c r="S70"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71">
      <c r="A71" s="52" t="n"/>
      <c r="B71" s="26" t="n"/>
      <c r="C71" s="52" t="n"/>
      <c r="D71" s="26" t="n"/>
      <c r="E71" s="52" t="n"/>
      <c r="F71" s="53" t="n"/>
      <c r="G71" s="53" t="n"/>
      <c r="H71" s="52" t="n"/>
      <c r="I71" s="53" t="n"/>
      <c r="J71" s="52" t="n"/>
      <c r="K71" s="60" t="n"/>
      <c r="L71" s="26" t="n"/>
      <c r="M71" s="58" t="str">
        <f>IF(AND(tblMilestones[[#This Row],[Due Date]]="",tblMilestones[[#This Row],[Revised Due Date]]=""),"",IF(tblMilestones[[#This Row],[Revised Due Date]]&lt;&gt;"",tblMilestones[[#This Row],[Revised Due Date]],tblMilestones[[#This Row],[Due Date]]))</f>
        <v/>
      </c>
      <c r="N71" s="59" t="str">
        <f>IF(tblMilestones[[#This Row],[Effective Due]]="","","Q"&amp;(INT(MOD(MONTH(tblMilestones[[#This Row],[Effective Due]])-StartMonth,12)/3)+1))</f>
        <v/>
      </c>
      <c r="O71" s="54" t="str">
        <f>IF(OR(tblMilestones[[#This Row],[Revised Due Date]]="",tblMilestones[[#This Row],[Due Date]]=""),"",tblMilestones[[#This Row],[Revised Due Date]]-tblMilestones[[#This Row],[Due Date]])</f>
        <v/>
      </c>
      <c r="P71" s="54" t="str">
        <f>IF(OR(tblMilestones[[#This Row],[Effective Due]]="",tblMilestones[[#This Row],[Status]]="Complete"),"",tblMilestones[[#This Row],[Effective Due]]-AsOf)</f>
        <v/>
      </c>
      <c r="Q71"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71" s="56" t="str">
        <f>IF(tblMilestones[[#This Row],[Depends On]]="","",IFERROR(INDEX(tblMilestones[Status],MATCH(tblMilestones[[#This Row],[Depends On]],tblMilestones[ID],0)),"Not Found"))</f>
        <v/>
      </c>
      <c r="S71"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72">
      <c r="A72" s="52" t="n"/>
      <c r="B72" s="26" t="n"/>
      <c r="C72" s="52" t="n"/>
      <c r="D72" s="26" t="n"/>
      <c r="E72" s="52" t="n"/>
      <c r="F72" s="53" t="n"/>
      <c r="G72" s="53" t="n"/>
      <c r="H72" s="52" t="n"/>
      <c r="I72" s="53" t="n"/>
      <c r="J72" s="52" t="n"/>
      <c r="K72" s="60" t="n"/>
      <c r="L72" s="26" t="n"/>
      <c r="M72" s="58" t="str">
        <f>IF(AND(tblMilestones[[#This Row],[Due Date]]="",tblMilestones[[#This Row],[Revised Due Date]]=""),"",IF(tblMilestones[[#This Row],[Revised Due Date]]&lt;&gt;"",tblMilestones[[#This Row],[Revised Due Date]],tblMilestones[[#This Row],[Due Date]]))</f>
        <v/>
      </c>
      <c r="N72" s="59" t="str">
        <f>IF(tblMilestones[[#This Row],[Effective Due]]="","","Q"&amp;(INT(MOD(MONTH(tblMilestones[[#This Row],[Effective Due]])-StartMonth,12)/3)+1))</f>
        <v/>
      </c>
      <c r="O72" s="54" t="str">
        <f>IF(OR(tblMilestones[[#This Row],[Revised Due Date]]="",tblMilestones[[#This Row],[Due Date]]=""),"",tblMilestones[[#This Row],[Revised Due Date]]-tblMilestones[[#This Row],[Due Date]])</f>
        <v/>
      </c>
      <c r="P72" s="54" t="str">
        <f>IF(OR(tblMilestones[[#This Row],[Effective Due]]="",tblMilestones[[#This Row],[Status]]="Complete"),"",tblMilestones[[#This Row],[Effective Due]]-AsOf)</f>
        <v/>
      </c>
      <c r="Q72"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72" s="56" t="str">
        <f>IF(tblMilestones[[#This Row],[Depends On]]="","",IFERROR(INDEX(tblMilestones[Status],MATCH(tblMilestones[[#This Row],[Depends On]],tblMilestones[ID],0)),"Not Found"))</f>
        <v/>
      </c>
      <c r="S72"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73">
      <c r="A73" s="52" t="n"/>
      <c r="B73" s="26" t="n"/>
      <c r="C73" s="52" t="n"/>
      <c r="D73" s="26" t="n"/>
      <c r="E73" s="52" t="n"/>
      <c r="F73" s="53" t="n"/>
      <c r="G73" s="53" t="n"/>
      <c r="H73" s="52" t="n"/>
      <c r="I73" s="53" t="n"/>
      <c r="J73" s="52" t="n"/>
      <c r="K73" s="60" t="n"/>
      <c r="L73" s="26" t="n"/>
      <c r="M73" s="58" t="str">
        <f>IF(AND(tblMilestones[[#This Row],[Due Date]]="",tblMilestones[[#This Row],[Revised Due Date]]=""),"",IF(tblMilestones[[#This Row],[Revised Due Date]]&lt;&gt;"",tblMilestones[[#This Row],[Revised Due Date]],tblMilestones[[#This Row],[Due Date]]))</f>
        <v/>
      </c>
      <c r="N73" s="59" t="str">
        <f>IF(tblMilestones[[#This Row],[Effective Due]]="","","Q"&amp;(INT(MOD(MONTH(tblMilestones[[#This Row],[Effective Due]])-StartMonth,12)/3)+1))</f>
        <v/>
      </c>
      <c r="O73" s="54" t="str">
        <f>IF(OR(tblMilestones[[#This Row],[Revised Due Date]]="",tblMilestones[[#This Row],[Due Date]]=""),"",tblMilestones[[#This Row],[Revised Due Date]]-tblMilestones[[#This Row],[Due Date]])</f>
        <v/>
      </c>
      <c r="P73" s="54" t="str">
        <f>IF(OR(tblMilestones[[#This Row],[Effective Due]]="",tblMilestones[[#This Row],[Status]]="Complete"),"",tblMilestones[[#This Row],[Effective Due]]-AsOf)</f>
        <v/>
      </c>
      <c r="Q73"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73" s="56" t="str">
        <f>IF(tblMilestones[[#This Row],[Depends On]]="","",IFERROR(INDEX(tblMilestones[Status],MATCH(tblMilestones[[#This Row],[Depends On]],tblMilestones[ID],0)),"Not Found"))</f>
        <v/>
      </c>
      <c r="S73"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74">
      <c r="A74" s="52" t="n"/>
      <c r="B74" s="26" t="n"/>
      <c r="C74" s="52" t="n"/>
      <c r="D74" s="26" t="n"/>
      <c r="E74" s="52" t="n"/>
      <c r="F74" s="53" t="n"/>
      <c r="G74" s="53" t="n"/>
      <c r="H74" s="52" t="n"/>
      <c r="I74" s="53" t="n"/>
      <c r="J74" s="52" t="n"/>
      <c r="K74" s="60" t="n"/>
      <c r="L74" s="26" t="n"/>
      <c r="M74" s="58" t="str">
        <f>IF(AND(tblMilestones[[#This Row],[Due Date]]="",tblMilestones[[#This Row],[Revised Due Date]]=""),"",IF(tblMilestones[[#This Row],[Revised Due Date]]&lt;&gt;"",tblMilestones[[#This Row],[Revised Due Date]],tblMilestones[[#This Row],[Due Date]]))</f>
        <v/>
      </c>
      <c r="N74" s="59" t="str">
        <f>IF(tblMilestones[[#This Row],[Effective Due]]="","","Q"&amp;(INT(MOD(MONTH(tblMilestones[[#This Row],[Effective Due]])-StartMonth,12)/3)+1))</f>
        <v/>
      </c>
      <c r="O74" s="54" t="str">
        <f>IF(OR(tblMilestones[[#This Row],[Revised Due Date]]="",tblMilestones[[#This Row],[Due Date]]=""),"",tblMilestones[[#This Row],[Revised Due Date]]-tblMilestones[[#This Row],[Due Date]])</f>
        <v/>
      </c>
      <c r="P74" s="54" t="str">
        <f>IF(OR(tblMilestones[[#This Row],[Effective Due]]="",tblMilestones[[#This Row],[Status]]="Complete"),"",tblMilestones[[#This Row],[Effective Due]]-AsOf)</f>
        <v/>
      </c>
      <c r="Q74"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74" s="56" t="str">
        <f>IF(tblMilestones[[#This Row],[Depends On]]="","",IFERROR(INDEX(tblMilestones[Status],MATCH(tblMilestones[[#This Row],[Depends On]],tblMilestones[ID],0)),"Not Found"))</f>
        <v/>
      </c>
      <c r="S74"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75">
      <c r="A75" s="52" t="n"/>
      <c r="B75" s="26" t="n"/>
      <c r="C75" s="52" t="n"/>
      <c r="D75" s="26" t="n"/>
      <c r="E75" s="52" t="n"/>
      <c r="F75" s="53" t="n"/>
      <c r="G75" s="53" t="n"/>
      <c r="H75" s="52" t="n"/>
      <c r="I75" s="53" t="n"/>
      <c r="J75" s="52" t="n"/>
      <c r="K75" s="60" t="n"/>
      <c r="L75" s="26" t="n"/>
      <c r="M75" s="58" t="str">
        <f>IF(AND(tblMilestones[[#This Row],[Due Date]]="",tblMilestones[[#This Row],[Revised Due Date]]=""),"",IF(tblMilestones[[#This Row],[Revised Due Date]]&lt;&gt;"",tblMilestones[[#This Row],[Revised Due Date]],tblMilestones[[#This Row],[Due Date]]))</f>
        <v/>
      </c>
      <c r="N75" s="59" t="str">
        <f>IF(tblMilestones[[#This Row],[Effective Due]]="","","Q"&amp;(INT(MOD(MONTH(tblMilestones[[#This Row],[Effective Due]])-StartMonth,12)/3)+1))</f>
        <v/>
      </c>
      <c r="O75" s="54" t="str">
        <f>IF(OR(tblMilestones[[#This Row],[Revised Due Date]]="",tblMilestones[[#This Row],[Due Date]]=""),"",tblMilestones[[#This Row],[Revised Due Date]]-tblMilestones[[#This Row],[Due Date]])</f>
        <v/>
      </c>
      <c r="P75" s="54" t="str">
        <f>IF(OR(tblMilestones[[#This Row],[Effective Due]]="",tblMilestones[[#This Row],[Status]]="Complete"),"",tblMilestones[[#This Row],[Effective Due]]-AsOf)</f>
        <v/>
      </c>
      <c r="Q75"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75" s="56" t="str">
        <f>IF(tblMilestones[[#This Row],[Depends On]]="","",IFERROR(INDEX(tblMilestones[Status],MATCH(tblMilestones[[#This Row],[Depends On]],tblMilestones[ID],0)),"Not Found"))</f>
        <v/>
      </c>
      <c r="S75"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76">
      <c r="A76" s="52" t="n"/>
      <c r="B76" s="26" t="n"/>
      <c r="C76" s="52" t="n"/>
      <c r="D76" s="26" t="n"/>
      <c r="E76" s="52" t="n"/>
      <c r="F76" s="53" t="n"/>
      <c r="G76" s="53" t="n"/>
      <c r="H76" s="52" t="n"/>
      <c r="I76" s="53" t="n"/>
      <c r="J76" s="52" t="n"/>
      <c r="K76" s="60" t="n"/>
      <c r="L76" s="26" t="n"/>
      <c r="M76" s="58" t="str">
        <f>IF(AND(tblMilestones[[#This Row],[Due Date]]="",tblMilestones[[#This Row],[Revised Due Date]]=""),"",IF(tblMilestones[[#This Row],[Revised Due Date]]&lt;&gt;"",tblMilestones[[#This Row],[Revised Due Date]],tblMilestones[[#This Row],[Due Date]]))</f>
        <v/>
      </c>
      <c r="N76" s="59" t="str">
        <f>IF(tblMilestones[[#This Row],[Effective Due]]="","","Q"&amp;(INT(MOD(MONTH(tblMilestones[[#This Row],[Effective Due]])-StartMonth,12)/3)+1))</f>
        <v/>
      </c>
      <c r="O76" s="54" t="str">
        <f>IF(OR(tblMilestones[[#This Row],[Revised Due Date]]="",tblMilestones[[#This Row],[Due Date]]=""),"",tblMilestones[[#This Row],[Revised Due Date]]-tblMilestones[[#This Row],[Due Date]])</f>
        <v/>
      </c>
      <c r="P76" s="54" t="str">
        <f>IF(OR(tblMilestones[[#This Row],[Effective Due]]="",tblMilestones[[#This Row],[Status]]="Complete"),"",tblMilestones[[#This Row],[Effective Due]]-AsOf)</f>
        <v/>
      </c>
      <c r="Q76"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76" s="56" t="str">
        <f>IF(tblMilestones[[#This Row],[Depends On]]="","",IFERROR(INDEX(tblMilestones[Status],MATCH(tblMilestones[[#This Row],[Depends On]],tblMilestones[ID],0)),"Not Found"))</f>
        <v/>
      </c>
      <c r="S76"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77">
      <c r="A77" s="52" t="n"/>
      <c r="B77" s="26" t="n"/>
      <c r="C77" s="52" t="n"/>
      <c r="D77" s="26" t="n"/>
      <c r="E77" s="52" t="n"/>
      <c r="F77" s="53" t="n"/>
      <c r="G77" s="53" t="n"/>
      <c r="H77" s="52" t="n"/>
      <c r="I77" s="53" t="n"/>
      <c r="J77" s="52" t="n"/>
      <c r="K77" s="60" t="n"/>
      <c r="L77" s="26" t="n"/>
      <c r="M77" s="58" t="str">
        <f>IF(AND(tblMilestones[[#This Row],[Due Date]]="",tblMilestones[[#This Row],[Revised Due Date]]=""),"",IF(tblMilestones[[#This Row],[Revised Due Date]]&lt;&gt;"",tblMilestones[[#This Row],[Revised Due Date]],tblMilestones[[#This Row],[Due Date]]))</f>
        <v/>
      </c>
      <c r="N77" s="59" t="str">
        <f>IF(tblMilestones[[#This Row],[Effective Due]]="","","Q"&amp;(INT(MOD(MONTH(tblMilestones[[#This Row],[Effective Due]])-StartMonth,12)/3)+1))</f>
        <v/>
      </c>
      <c r="O77" s="54" t="str">
        <f>IF(OR(tblMilestones[[#This Row],[Revised Due Date]]="",tblMilestones[[#This Row],[Due Date]]=""),"",tblMilestones[[#This Row],[Revised Due Date]]-tblMilestones[[#This Row],[Due Date]])</f>
        <v/>
      </c>
      <c r="P77" s="54" t="str">
        <f>IF(OR(tblMilestones[[#This Row],[Effective Due]]="",tblMilestones[[#This Row],[Status]]="Complete"),"",tblMilestones[[#This Row],[Effective Due]]-AsOf)</f>
        <v/>
      </c>
      <c r="Q77"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77" s="56" t="str">
        <f>IF(tblMilestones[[#This Row],[Depends On]]="","",IFERROR(INDEX(tblMilestones[Status],MATCH(tblMilestones[[#This Row],[Depends On]],tblMilestones[ID],0)),"Not Found"))</f>
        <v/>
      </c>
      <c r="S77"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78">
      <c r="A78" s="52" t="n"/>
      <c r="B78" s="26" t="n"/>
      <c r="C78" s="52" t="n"/>
      <c r="D78" s="26" t="n"/>
      <c r="E78" s="52" t="n"/>
      <c r="F78" s="53" t="n"/>
      <c r="G78" s="53" t="n"/>
      <c r="H78" s="52" t="n"/>
      <c r="I78" s="53" t="n"/>
      <c r="J78" s="52" t="n"/>
      <c r="K78" s="60" t="n"/>
      <c r="L78" s="26" t="n"/>
      <c r="M78" s="58" t="str">
        <f>IF(AND(tblMilestones[[#This Row],[Due Date]]="",tblMilestones[[#This Row],[Revised Due Date]]=""),"",IF(tblMilestones[[#This Row],[Revised Due Date]]&lt;&gt;"",tblMilestones[[#This Row],[Revised Due Date]],tblMilestones[[#This Row],[Due Date]]))</f>
        <v/>
      </c>
      <c r="N78" s="59" t="str">
        <f>IF(tblMilestones[[#This Row],[Effective Due]]="","","Q"&amp;(INT(MOD(MONTH(tblMilestones[[#This Row],[Effective Due]])-StartMonth,12)/3)+1))</f>
        <v/>
      </c>
      <c r="O78" s="54" t="str">
        <f>IF(OR(tblMilestones[[#This Row],[Revised Due Date]]="",tblMilestones[[#This Row],[Due Date]]=""),"",tblMilestones[[#This Row],[Revised Due Date]]-tblMilestones[[#This Row],[Due Date]])</f>
        <v/>
      </c>
      <c r="P78" s="54" t="str">
        <f>IF(OR(tblMilestones[[#This Row],[Effective Due]]="",tblMilestones[[#This Row],[Status]]="Complete"),"",tblMilestones[[#This Row],[Effective Due]]-AsOf)</f>
        <v/>
      </c>
      <c r="Q78"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78" s="56" t="str">
        <f>IF(tblMilestones[[#This Row],[Depends On]]="","",IFERROR(INDEX(tblMilestones[Status],MATCH(tblMilestones[[#This Row],[Depends On]],tblMilestones[ID],0)),"Not Found"))</f>
        <v/>
      </c>
      <c r="S78"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79">
      <c r="A79" s="52" t="n"/>
      <c r="B79" s="26" t="n"/>
      <c r="C79" s="52" t="n"/>
      <c r="D79" s="26" t="n"/>
      <c r="E79" s="52" t="n"/>
      <c r="F79" s="53" t="n"/>
      <c r="G79" s="53" t="n"/>
      <c r="H79" s="52" t="n"/>
      <c r="I79" s="53" t="n"/>
      <c r="J79" s="52" t="n"/>
      <c r="K79" s="60" t="n"/>
      <c r="L79" s="26" t="n"/>
      <c r="M79" s="58" t="str">
        <f>IF(AND(tblMilestones[[#This Row],[Due Date]]="",tblMilestones[[#This Row],[Revised Due Date]]=""),"",IF(tblMilestones[[#This Row],[Revised Due Date]]&lt;&gt;"",tblMilestones[[#This Row],[Revised Due Date]],tblMilestones[[#This Row],[Due Date]]))</f>
        <v/>
      </c>
      <c r="N79" s="59" t="str">
        <f>IF(tblMilestones[[#This Row],[Effective Due]]="","","Q"&amp;(INT(MOD(MONTH(tblMilestones[[#This Row],[Effective Due]])-StartMonth,12)/3)+1))</f>
        <v/>
      </c>
      <c r="O79" s="54" t="str">
        <f>IF(OR(tblMilestones[[#This Row],[Revised Due Date]]="",tblMilestones[[#This Row],[Due Date]]=""),"",tblMilestones[[#This Row],[Revised Due Date]]-tblMilestones[[#This Row],[Due Date]])</f>
        <v/>
      </c>
      <c r="P79" s="54" t="str">
        <f>IF(OR(tblMilestones[[#This Row],[Effective Due]]="",tblMilestones[[#This Row],[Status]]="Complete"),"",tblMilestones[[#This Row],[Effective Due]]-AsOf)</f>
        <v/>
      </c>
      <c r="Q79"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79" s="56" t="str">
        <f>IF(tblMilestones[[#This Row],[Depends On]]="","",IFERROR(INDEX(tblMilestones[Status],MATCH(tblMilestones[[#This Row],[Depends On]],tblMilestones[ID],0)),"Not Found"))</f>
        <v/>
      </c>
      <c r="S79"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80">
      <c r="A80" s="52" t="n"/>
      <c r="B80" s="26" t="n"/>
      <c r="C80" s="52" t="n"/>
      <c r="D80" s="26" t="n"/>
      <c r="E80" s="52" t="n"/>
      <c r="F80" s="53" t="n"/>
      <c r="G80" s="53" t="n"/>
      <c r="H80" s="52" t="n"/>
      <c r="I80" s="53" t="n"/>
      <c r="J80" s="52" t="n"/>
      <c r="K80" s="60" t="n"/>
      <c r="L80" s="26" t="n"/>
      <c r="M80" s="58" t="str">
        <f>IF(AND(tblMilestones[[#This Row],[Due Date]]="",tblMilestones[[#This Row],[Revised Due Date]]=""),"",IF(tblMilestones[[#This Row],[Revised Due Date]]&lt;&gt;"",tblMilestones[[#This Row],[Revised Due Date]],tblMilestones[[#This Row],[Due Date]]))</f>
        <v/>
      </c>
      <c r="N80" s="59" t="str">
        <f>IF(tblMilestones[[#This Row],[Effective Due]]="","","Q"&amp;(INT(MOD(MONTH(tblMilestones[[#This Row],[Effective Due]])-StartMonth,12)/3)+1))</f>
        <v/>
      </c>
      <c r="O80" s="54" t="str">
        <f>IF(OR(tblMilestones[[#This Row],[Revised Due Date]]="",tblMilestones[[#This Row],[Due Date]]=""),"",tblMilestones[[#This Row],[Revised Due Date]]-tblMilestones[[#This Row],[Due Date]])</f>
        <v/>
      </c>
      <c r="P80" s="54" t="str">
        <f>IF(OR(tblMilestones[[#This Row],[Effective Due]]="",tblMilestones[[#This Row],[Status]]="Complete"),"",tblMilestones[[#This Row],[Effective Due]]-AsOf)</f>
        <v/>
      </c>
      <c r="Q80"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80" s="56" t="str">
        <f>IF(tblMilestones[[#This Row],[Depends On]]="","",IFERROR(INDEX(tblMilestones[Status],MATCH(tblMilestones[[#This Row],[Depends On]],tblMilestones[ID],0)),"Not Found"))</f>
        <v/>
      </c>
      <c r="S80"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81">
      <c r="A81" s="52" t="n"/>
      <c r="B81" s="26" t="n"/>
      <c r="C81" s="52" t="n"/>
      <c r="D81" s="26" t="n"/>
      <c r="E81" s="52" t="n"/>
      <c r="F81" s="53" t="n"/>
      <c r="G81" s="53" t="n"/>
      <c r="H81" s="52" t="n"/>
      <c r="I81" s="53" t="n"/>
      <c r="J81" s="52" t="n"/>
      <c r="K81" s="60" t="n"/>
      <c r="L81" s="26" t="n"/>
      <c r="M81" s="58" t="str">
        <f>IF(AND(tblMilestones[[#This Row],[Due Date]]="",tblMilestones[[#This Row],[Revised Due Date]]=""),"",IF(tblMilestones[[#This Row],[Revised Due Date]]&lt;&gt;"",tblMilestones[[#This Row],[Revised Due Date]],tblMilestones[[#This Row],[Due Date]]))</f>
        <v/>
      </c>
      <c r="N81" s="59" t="str">
        <f>IF(tblMilestones[[#This Row],[Effective Due]]="","","Q"&amp;(INT(MOD(MONTH(tblMilestones[[#This Row],[Effective Due]])-StartMonth,12)/3)+1))</f>
        <v/>
      </c>
      <c r="O81" s="54" t="str">
        <f>IF(OR(tblMilestones[[#This Row],[Revised Due Date]]="",tblMilestones[[#This Row],[Due Date]]=""),"",tblMilestones[[#This Row],[Revised Due Date]]-tblMilestones[[#This Row],[Due Date]])</f>
        <v/>
      </c>
      <c r="P81" s="54" t="str">
        <f>IF(OR(tblMilestones[[#This Row],[Effective Due]]="",tblMilestones[[#This Row],[Status]]="Complete"),"",tblMilestones[[#This Row],[Effective Due]]-AsOf)</f>
        <v/>
      </c>
      <c r="Q81"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81" s="56" t="str">
        <f>IF(tblMilestones[[#This Row],[Depends On]]="","",IFERROR(INDEX(tblMilestones[Status],MATCH(tblMilestones[[#This Row],[Depends On]],tblMilestones[ID],0)),"Not Found"))</f>
        <v/>
      </c>
      <c r="S81"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82">
      <c r="A82" s="52" t="n"/>
      <c r="B82" s="26" t="n"/>
      <c r="C82" s="52" t="n"/>
      <c r="D82" s="26" t="n"/>
      <c r="E82" s="52" t="n"/>
      <c r="F82" s="53" t="n"/>
      <c r="G82" s="53" t="n"/>
      <c r="H82" s="52" t="n"/>
      <c r="I82" s="53" t="n"/>
      <c r="J82" s="52" t="n"/>
      <c r="K82" s="60" t="n"/>
      <c r="L82" s="26" t="n"/>
      <c r="M82" s="58" t="str">
        <f>IF(AND(tblMilestones[[#This Row],[Due Date]]="",tblMilestones[[#This Row],[Revised Due Date]]=""),"",IF(tblMilestones[[#This Row],[Revised Due Date]]&lt;&gt;"",tblMilestones[[#This Row],[Revised Due Date]],tblMilestones[[#This Row],[Due Date]]))</f>
        <v/>
      </c>
      <c r="N82" s="59" t="str">
        <f>IF(tblMilestones[[#This Row],[Effective Due]]="","","Q"&amp;(INT(MOD(MONTH(tblMilestones[[#This Row],[Effective Due]])-StartMonth,12)/3)+1))</f>
        <v/>
      </c>
      <c r="O82" s="54" t="str">
        <f>IF(OR(tblMilestones[[#This Row],[Revised Due Date]]="",tblMilestones[[#This Row],[Due Date]]=""),"",tblMilestones[[#This Row],[Revised Due Date]]-tblMilestones[[#This Row],[Due Date]])</f>
        <v/>
      </c>
      <c r="P82" s="54" t="str">
        <f>IF(OR(tblMilestones[[#This Row],[Effective Due]]="",tblMilestones[[#This Row],[Status]]="Complete"),"",tblMilestones[[#This Row],[Effective Due]]-AsOf)</f>
        <v/>
      </c>
      <c r="Q82"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82" s="56" t="str">
        <f>IF(tblMilestones[[#This Row],[Depends On]]="","",IFERROR(INDEX(tblMilestones[Status],MATCH(tblMilestones[[#This Row],[Depends On]],tblMilestones[ID],0)),"Not Found"))</f>
        <v/>
      </c>
      <c r="S82"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83">
      <c r="A83" s="52" t="n"/>
      <c r="B83" s="26" t="n"/>
      <c r="C83" s="52" t="n"/>
      <c r="D83" s="26" t="n"/>
      <c r="E83" s="52" t="n"/>
      <c r="F83" s="53" t="n"/>
      <c r="G83" s="53" t="n"/>
      <c r="H83" s="52" t="n"/>
      <c r="I83" s="53" t="n"/>
      <c r="J83" s="52" t="n"/>
      <c r="K83" s="60" t="n"/>
      <c r="L83" s="26" t="n"/>
      <c r="M83" s="58" t="str">
        <f>IF(AND(tblMilestones[[#This Row],[Due Date]]="",tblMilestones[[#This Row],[Revised Due Date]]=""),"",IF(tblMilestones[[#This Row],[Revised Due Date]]&lt;&gt;"",tblMilestones[[#This Row],[Revised Due Date]],tblMilestones[[#This Row],[Due Date]]))</f>
        <v/>
      </c>
      <c r="N83" s="59" t="str">
        <f>IF(tblMilestones[[#This Row],[Effective Due]]="","","Q"&amp;(INT(MOD(MONTH(tblMilestones[[#This Row],[Effective Due]])-StartMonth,12)/3)+1))</f>
        <v/>
      </c>
      <c r="O83" s="54" t="str">
        <f>IF(OR(tblMilestones[[#This Row],[Revised Due Date]]="",tblMilestones[[#This Row],[Due Date]]=""),"",tblMilestones[[#This Row],[Revised Due Date]]-tblMilestones[[#This Row],[Due Date]])</f>
        <v/>
      </c>
      <c r="P83" s="54" t="str">
        <f>IF(OR(tblMilestones[[#This Row],[Effective Due]]="",tblMilestones[[#This Row],[Status]]="Complete"),"",tblMilestones[[#This Row],[Effective Due]]-AsOf)</f>
        <v/>
      </c>
      <c r="Q83"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83" s="56" t="str">
        <f>IF(tblMilestones[[#This Row],[Depends On]]="","",IFERROR(INDEX(tblMilestones[Status],MATCH(tblMilestones[[#This Row],[Depends On]],tblMilestones[ID],0)),"Not Found"))</f>
        <v/>
      </c>
      <c r="S83"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84">
      <c r="A84" s="52" t="n"/>
      <c r="B84" s="26" t="n"/>
      <c r="C84" s="52" t="n"/>
      <c r="D84" s="26" t="n"/>
      <c r="E84" s="52" t="n"/>
      <c r="F84" s="53" t="n"/>
      <c r="G84" s="53" t="n"/>
      <c r="H84" s="52" t="n"/>
      <c r="I84" s="53" t="n"/>
      <c r="J84" s="52" t="n"/>
      <c r="K84" s="60" t="n"/>
      <c r="L84" s="26" t="n"/>
      <c r="M84" s="58" t="str">
        <f>IF(AND(tblMilestones[[#This Row],[Due Date]]="",tblMilestones[[#This Row],[Revised Due Date]]=""),"",IF(tblMilestones[[#This Row],[Revised Due Date]]&lt;&gt;"",tblMilestones[[#This Row],[Revised Due Date]],tblMilestones[[#This Row],[Due Date]]))</f>
        <v/>
      </c>
      <c r="N84" s="59" t="str">
        <f>IF(tblMilestones[[#This Row],[Effective Due]]="","","Q"&amp;(INT(MOD(MONTH(tblMilestones[[#This Row],[Effective Due]])-StartMonth,12)/3)+1))</f>
        <v/>
      </c>
      <c r="O84" s="54" t="str">
        <f>IF(OR(tblMilestones[[#This Row],[Revised Due Date]]="",tblMilestones[[#This Row],[Due Date]]=""),"",tblMilestones[[#This Row],[Revised Due Date]]-tblMilestones[[#This Row],[Due Date]])</f>
        <v/>
      </c>
      <c r="P84" s="54" t="str">
        <f>IF(OR(tblMilestones[[#This Row],[Effective Due]]="",tblMilestones[[#This Row],[Status]]="Complete"),"",tblMilestones[[#This Row],[Effective Due]]-AsOf)</f>
        <v/>
      </c>
      <c r="Q84"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84" s="56" t="str">
        <f>IF(tblMilestones[[#This Row],[Depends On]]="","",IFERROR(INDEX(tblMilestones[Status],MATCH(tblMilestones[[#This Row],[Depends On]],tblMilestones[ID],0)),"Not Found"))</f>
        <v/>
      </c>
      <c r="S84"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85">
      <c r="A85" s="52" t="n"/>
      <c r="B85" s="26" t="n"/>
      <c r="C85" s="52" t="n"/>
      <c r="D85" s="26" t="n"/>
      <c r="E85" s="52" t="n"/>
      <c r="F85" s="53" t="n"/>
      <c r="G85" s="53" t="n"/>
      <c r="H85" s="52" t="n"/>
      <c r="I85" s="53" t="n"/>
      <c r="J85" s="52" t="n"/>
      <c r="K85" s="60" t="n"/>
      <c r="L85" s="26" t="n"/>
      <c r="M85" s="58" t="str">
        <f>IF(AND(tblMilestones[[#This Row],[Due Date]]="",tblMilestones[[#This Row],[Revised Due Date]]=""),"",IF(tblMilestones[[#This Row],[Revised Due Date]]&lt;&gt;"",tblMilestones[[#This Row],[Revised Due Date]],tblMilestones[[#This Row],[Due Date]]))</f>
        <v/>
      </c>
      <c r="N85" s="59" t="str">
        <f>IF(tblMilestones[[#This Row],[Effective Due]]="","","Q"&amp;(INT(MOD(MONTH(tblMilestones[[#This Row],[Effective Due]])-StartMonth,12)/3)+1))</f>
        <v/>
      </c>
      <c r="O85" s="54" t="str">
        <f>IF(OR(tblMilestones[[#This Row],[Revised Due Date]]="",tblMilestones[[#This Row],[Due Date]]=""),"",tblMilestones[[#This Row],[Revised Due Date]]-tblMilestones[[#This Row],[Due Date]])</f>
        <v/>
      </c>
      <c r="P85" s="54" t="str">
        <f>IF(OR(tblMilestones[[#This Row],[Effective Due]]="",tblMilestones[[#This Row],[Status]]="Complete"),"",tblMilestones[[#This Row],[Effective Due]]-AsOf)</f>
        <v/>
      </c>
      <c r="Q85" s="56"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85" s="56" t="str">
        <f>IF(tblMilestones[[#This Row],[Depends On]]="","",IFERROR(INDEX(tblMilestones[Status],MATCH(tblMilestones[[#This Row],[Depends On]],tblMilestones[ID],0)),"Not Found"))</f>
        <v/>
      </c>
      <c r="S85" s="54"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sheetData>
  <conditionalFormatting sqref="Q6:Q85">
    <cfRule type="cellIs" priority="1" operator="equal" dxfId="4">
      <formula>"Overdue"</formula>
    </cfRule>
    <cfRule type="cellIs" priority="2" operator="equal" dxfId="3">
      <formula>"Due Within 14 Days"</formula>
    </cfRule>
    <cfRule type="cellIs" priority="3" operator="equal" dxfId="9">
      <formula>"Completed Late"</formula>
    </cfRule>
    <cfRule type="cellIs" priority="4" operator="equal" dxfId="1">
      <formula>"Completed On Time"</formula>
    </cfRule>
    <cfRule type="cellIs" priority="5" operator="equal" dxfId="10">
      <formula>"On Schedule"</formula>
    </cfRule>
  </conditionalFormatting>
  <conditionalFormatting sqref="H6:H85">
    <cfRule type="cellIs" priority="6" operator="equal" dxfId="2">
      <formula>"Complete"</formula>
    </cfRule>
    <cfRule type="cellIs" priority="7" operator="equal" dxfId="3">
      <formula>"Delayed"</formula>
    </cfRule>
    <cfRule type="cellIs" priority="8" operator="equal" dxfId="4">
      <formula>"Blocked"</formula>
    </cfRule>
  </conditionalFormatting>
  <conditionalFormatting sqref="R6:R85">
    <cfRule type="cellIs" priority="9" operator="equal" dxfId="9">
      <formula>"Delayed"</formula>
    </cfRule>
    <cfRule type="cellIs" priority="10" operator="equal" dxfId="11">
      <formula>"Blocked"</formula>
    </cfRule>
    <cfRule type="cellIs" priority="11" operator="equal" dxfId="4">
      <formula>"Not Found"</formula>
    </cfRule>
  </conditionalFormatting>
  <dataValidations count="9">
    <dataValidation sqref="C6:C85" showDropDown="0" showInputMessage="0" showErrorMessage="1" allowBlank="1" errorTitle="Choose from the list" error="Pick a value from the dropdown. Edit the lists on the Lists sheet." type="list" errorStyle="stop">
      <formula1>=rngObjIDs</formula1>
    </dataValidation>
    <dataValidation sqref="D6:D85" showDropDown="0" showInputMessage="0" showErrorMessage="1" allowBlank="1" errorTitle="Choose from the list" error="Pick a value from the dropdown. Edit the lists on the Lists sheet." type="list" errorStyle="stop">
      <formula1>=lstMsType</formula1>
    </dataValidation>
    <dataValidation sqref="E6:E85" showDropDown="0" showInputMessage="0" showErrorMessage="1" allowBlank="1" errorTitle="Name not on the People list" error="This name is not on the People list on the Lists sheet. Add it there, or continue to keep what you typed." type="list" errorStyle="warning">
      <formula1>=lstPeople</formula1>
    </dataValidation>
    <dataValidation sqref="F6:F85" showDropDown="0" showInputMessage="0" showErrorMessage="1" allowBlank="1" errorTitle="Enter a date" error="Enter a valid date, for example 4/15/2027." type="date" errorStyle="stop" operator="greaterThanOrEqual">
      <formula1>36526</formula1>
    </dataValidation>
    <dataValidation sqref="G6:G85" showDropDown="0" showInputMessage="0" showErrorMessage="1" allowBlank="1" errorTitle="Enter a date" error="Enter a valid date, for example 4/15/2027." type="date" errorStyle="stop" operator="greaterThanOrEqual">
      <formula1>36526</formula1>
    </dataValidation>
    <dataValidation sqref="H6:H85" showDropDown="0" showInputMessage="0" showErrorMessage="1" allowBlank="1" errorTitle="Choose from the list" error="Pick a value from the dropdown. Edit the lists on the Lists sheet." type="list" errorStyle="stop">
      <formula1>=lstMsStatus</formula1>
    </dataValidation>
    <dataValidation sqref="I6:I85" showDropDown="0" showInputMessage="0" showErrorMessage="1" allowBlank="1" errorTitle="Enter a date" error="Enter a valid date, for example 4/15/2027." type="date" errorStyle="stop" operator="greaterThanOrEqual">
      <formula1>36526</formula1>
    </dataValidation>
    <dataValidation sqref="J6:J85" showDropDown="0" showInputMessage="0" showErrorMessage="1" allowBlank="1" errorTitle="Choose from the list" error="Pick a value from the dropdown. Edit the lists on the Lists sheet." type="list" errorStyle="stop">
      <formula1>=rngMsIDs</formula1>
    </dataValidation>
    <dataValidation sqref="K6:K85" showDropDown="0" showInputMessage="0" showErrorMessage="1" allowBlank="1" errorTitle="Choose from the list" error="Pick a value from the dropdown. Edit the lists on the Lists sheet." type="list" errorStyle="stop">
      <formula1>=lstYesNo</formula1>
    </dataValidation>
  </dataValidations>
  <pageMargins left="0.5" right="0.5" top="1" bottom="1" header="0.5" footer="0.5"/>
  <pageSetup orientation="landscape" fitToHeight="0" fitToWidth="1"/>
  <headerFooter>
    <oddHeader/>
    <oddFooter>&amp;L&amp;8 Intergov Association | Strategic Plan Tracker&amp;R&amp;8 &amp;A | Page &amp;P of &amp;N</oddFooter>
    <evenHeader/>
    <evenFooter/>
    <firstHeader/>
    <firstFooter/>
  </headerFooter>
  <tableParts count="1">
    <tablePart xmlns:r="http://schemas.openxmlformats.org/officeDocument/2006/relationships" r:id="rId1"/>
  </tableParts>
</worksheet>
</file>

<file path=xl/worksheets/sheet8.xml><?xml version="1.0" encoding="utf-8"?>
<worksheet xmlns="http://schemas.openxmlformats.org/spreadsheetml/2006/main">
  <sheetPr>
    <tabColor rgb="00192E43"/>
    <outlinePr summaryBelow="1" summaryRight="1"/>
    <pageSetUpPr fitToPage="1"/>
  </sheetPr>
  <dimension ref="A1:T35"/>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9" customWidth="1" min="1" max="1"/>
    <col width="46" customWidth="1" min="2" max="2"/>
    <col width="14" customWidth="1" min="3" max="3"/>
    <col width="11" customWidth="1" min="4" max="4"/>
    <col width="11" customWidth="1" min="5" max="5"/>
    <col width="10" customWidth="1" min="6" max="6"/>
    <col width="38" customWidth="1" min="7" max="7"/>
    <col width="42" customWidth="1" min="8" max="8"/>
    <col width="16" customWidth="1" min="9" max="9"/>
    <col width="12" customWidth="1" min="10" max="10"/>
    <col width="16" customWidth="1" min="11" max="11"/>
    <col width="12" customWidth="1" min="12" max="12"/>
    <col width="12" customWidth="1" min="13" max="13"/>
    <col width="9" customWidth="1" min="14" max="14"/>
    <col width="9" customWidth="1" min="15" max="15"/>
    <col width="9" customWidth="1" min="16" max="16"/>
    <col width="10" customWidth="1" min="17" max="17"/>
    <col width="9" customWidth="1" min="18" max="18"/>
    <col width="15" customWidth="1" min="19" max="19"/>
    <col width="8" customWidth="1" min="20" max="20"/>
  </cols>
  <sheetData>
    <row r="1">
      <c r="A1" s="45" t="inlineStr">
        <is>
          <t>Risk Register</t>
        </is>
      </c>
    </row>
    <row r="2">
      <c r="A2" s="2" t="inlineStr">
        <is>
          <t>What could stop an objective, how you will know early, and what you will do. Review every quarter.</t>
        </is>
      </c>
    </row>
    <row r="3">
      <c r="A3" s="18" t="inlineStr">
        <is>
          <t>Navy headers: enter data. Slate headers with gray cells: calculated, do not overwrite. Row 4 (italic) shows the expected format and is not part of the table.</t>
        </is>
      </c>
    </row>
    <row r="4" ht="64" customHeight="1">
      <c r="A4" s="40" t="inlineStr">
        <is>
          <t>RSK-01</t>
        </is>
      </c>
      <c r="B4" s="40" t="inlineStr">
        <is>
          <t>The bill fails or is amended to remove the authority, leaving the objective without a funding source.</t>
        </is>
      </c>
      <c r="C4" s="40" t="inlineStr">
        <is>
          <t>Legislative</t>
        </is>
      </c>
      <c r="D4" s="40" t="inlineStr">
        <is>
          <t>OBJ-1</t>
        </is>
      </c>
      <c r="E4" s="40" t="inlineStr">
        <is>
          <t>Moderate</t>
        </is>
      </c>
      <c r="F4" s="40" t="inlineStr">
        <is>
          <t>High</t>
        </is>
      </c>
      <c r="G4" s="40" t="inlineStr">
        <is>
          <t>Hearing not noticed, or amendments filed by an opposing member.</t>
        </is>
      </c>
      <c r="H4" s="40" t="inlineStr">
        <is>
          <t>Weekly vote count. Prepare an alternate funding scenario in parallel.</t>
        </is>
      </c>
      <c r="I4" s="40" t="inlineStr">
        <is>
          <t>Name</t>
        </is>
      </c>
      <c r="J4" s="40" t="inlineStr">
        <is>
          <t>Mitigating</t>
        </is>
      </c>
      <c r="K4" s="40" t="inlineStr">
        <is>
          <t>None</t>
        </is>
      </c>
      <c r="L4" s="46" t="n">
        <v>46370</v>
      </c>
      <c r="M4" s="46" t="n">
        <v>46482</v>
      </c>
      <c r="N4" s="47" t="n"/>
      <c r="O4" s="47" t="n"/>
      <c r="P4" s="47" t="n"/>
      <c r="Q4" s="49" t="n"/>
      <c r="R4" s="47" t="n"/>
      <c r="S4" s="49" t="n"/>
      <c r="T4" s="47" t="n"/>
    </row>
    <row r="5" ht="34" customHeight="1">
      <c r="A5" s="50" t="inlineStr">
        <is>
          <t>ID</t>
        </is>
      </c>
      <c r="B5" s="50" t="inlineStr">
        <is>
          <t>Risk Statement</t>
        </is>
      </c>
      <c r="C5" s="50" t="inlineStr">
        <is>
          <t>Category</t>
        </is>
      </c>
      <c r="D5" s="50" t="inlineStr">
        <is>
          <t>Objective ID</t>
        </is>
      </c>
      <c r="E5" s="50" t="inlineStr">
        <is>
          <t>Likelihood</t>
        </is>
      </c>
      <c r="F5" s="50" t="inlineStr">
        <is>
          <t>Impact</t>
        </is>
      </c>
      <c r="G5" s="50" t="inlineStr">
        <is>
          <t>Early Warning Indicator</t>
        </is>
      </c>
      <c r="H5" s="50" t="inlineStr">
        <is>
          <t>Mitigation or Contingency</t>
        </is>
      </c>
      <c r="I5" s="50" t="inlineStr">
        <is>
          <t>Owner</t>
        </is>
      </c>
      <c r="J5" s="50" t="inlineStr">
        <is>
          <t>Status</t>
        </is>
      </c>
      <c r="K5" s="50" t="inlineStr">
        <is>
          <t>Escalation Level</t>
        </is>
      </c>
      <c r="L5" s="50" t="inlineStr">
        <is>
          <t>Date Identified</t>
        </is>
      </c>
      <c r="M5" s="50" t="inlineStr">
        <is>
          <t>Last Reviewed</t>
        </is>
      </c>
      <c r="N5" s="51" t="inlineStr">
        <is>
          <t>Likelihood Score</t>
        </is>
      </c>
      <c r="O5" s="51" t="inlineStr">
        <is>
          <t>Impact Score</t>
        </is>
      </c>
      <c r="P5" s="51" t="inlineStr">
        <is>
          <t>Exposure</t>
        </is>
      </c>
      <c r="Q5" s="51" t="inlineStr">
        <is>
          <t>Rating</t>
        </is>
      </c>
      <c r="R5" s="51" t="inlineStr">
        <is>
          <t>Days Since Review</t>
        </is>
      </c>
      <c r="S5" s="51" t="inlineStr">
        <is>
          <t>Review Flag</t>
        </is>
      </c>
      <c r="T5" s="51" t="inlineStr">
        <is>
          <t>Risk Rank</t>
        </is>
      </c>
    </row>
    <row r="6">
      <c r="A6" s="52" t="n"/>
      <c r="B6" s="26" t="n"/>
      <c r="C6" s="52" t="n"/>
      <c r="D6" s="52" t="n"/>
      <c r="E6" s="52" t="n"/>
      <c r="F6" s="52" t="n"/>
      <c r="G6" s="26" t="n"/>
      <c r="H6" s="26" t="n"/>
      <c r="I6" s="52" t="n"/>
      <c r="J6" s="52" t="n"/>
      <c r="K6" s="26" t="n"/>
      <c r="L6" s="53" t="n"/>
      <c r="M6" s="53" t="n"/>
      <c r="N6" s="54" t="str">
        <f>IF(tblRisks[[#This Row],[Likelihood]]="","",IFERROR(MATCH(tblRisks[[#This Row],[Likelihood]],lstLevel3,0),""))</f>
        <v/>
      </c>
      <c r="O6" s="54" t="str">
        <f>IF(tblRisks[[#This Row],[Impact]]="","",IFERROR(MATCH(tblRisks[[#This Row],[Impact]],lstLevel3,0),""))</f>
        <v/>
      </c>
      <c r="P6" s="54" t="str">
        <f>IF(OR(tblRisks[[#This Row],[Likelihood Score]]="",tblRisks[[#This Row],[Impact Score]]=""),"",tblRisks[[#This Row],[Likelihood Score]]*tblRisks[[#This Row],[Impact Score]])</f>
        <v/>
      </c>
      <c r="Q6" s="56" t="str">
        <f>IF(tblRisks[[#This Row],[Exposure]]="","",IF(tblRisks[[#This Row],[Exposure]]&gt;=6,"High",IF(tblRisks[[#This Row],[Exposure]]&gt;=3,"Moderate","Low")))</f>
        <v/>
      </c>
      <c r="R6" s="54" t="str">
        <f>IF(tblRisks[[#This Row],[Last Reviewed]]="","",AsOf-tblRisks[[#This Row],[Last Reviewed]])</f>
        <v/>
      </c>
      <c r="S6" s="56" t="str">
        <f>IF(OR(tblRisks[[#This Row],[ID]]="",tblRisks[[#This Row],[Status]]="Closed"),"",IF(tblRisks[[#This Row],[Last Reviewed]]="","Never Reviewed",IF(AsOf-tblRisks[[#This Row],[Last Reviewed]]&gt;ReviewDays,"Review Overdue","Current")))</f>
        <v/>
      </c>
      <c r="T6" s="54"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7">
      <c r="A7" s="52" t="n"/>
      <c r="B7" s="26" t="n"/>
      <c r="C7" s="52" t="n"/>
      <c r="D7" s="52" t="n"/>
      <c r="E7" s="52" t="n"/>
      <c r="F7" s="52" t="n"/>
      <c r="G7" s="26" t="n"/>
      <c r="H7" s="26" t="n"/>
      <c r="I7" s="52" t="n"/>
      <c r="J7" s="52" t="n"/>
      <c r="K7" s="26" t="n"/>
      <c r="L7" s="53" t="n"/>
      <c r="M7" s="53" t="n"/>
      <c r="N7" s="54" t="str">
        <f>IF(tblRisks[[#This Row],[Likelihood]]="","",IFERROR(MATCH(tblRisks[[#This Row],[Likelihood]],lstLevel3,0),""))</f>
        <v/>
      </c>
      <c r="O7" s="54" t="str">
        <f>IF(tblRisks[[#This Row],[Impact]]="","",IFERROR(MATCH(tblRisks[[#This Row],[Impact]],lstLevel3,0),""))</f>
        <v/>
      </c>
      <c r="P7" s="54" t="str">
        <f>IF(OR(tblRisks[[#This Row],[Likelihood Score]]="",tblRisks[[#This Row],[Impact Score]]=""),"",tblRisks[[#This Row],[Likelihood Score]]*tblRisks[[#This Row],[Impact Score]])</f>
        <v/>
      </c>
      <c r="Q7" s="56" t="str">
        <f>IF(tblRisks[[#This Row],[Exposure]]="","",IF(tblRisks[[#This Row],[Exposure]]&gt;=6,"High",IF(tblRisks[[#This Row],[Exposure]]&gt;=3,"Moderate","Low")))</f>
        <v/>
      </c>
      <c r="R7" s="54" t="str">
        <f>IF(tblRisks[[#This Row],[Last Reviewed]]="","",AsOf-tblRisks[[#This Row],[Last Reviewed]])</f>
        <v/>
      </c>
      <c r="S7" s="56" t="str">
        <f>IF(OR(tblRisks[[#This Row],[ID]]="",tblRisks[[#This Row],[Status]]="Closed"),"",IF(tblRisks[[#This Row],[Last Reviewed]]="","Never Reviewed",IF(AsOf-tblRisks[[#This Row],[Last Reviewed]]&gt;ReviewDays,"Review Overdue","Current")))</f>
        <v/>
      </c>
      <c r="T7" s="54"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8">
      <c r="A8" s="52" t="n"/>
      <c r="B8" s="26" t="n"/>
      <c r="C8" s="52" t="n"/>
      <c r="D8" s="52" t="n"/>
      <c r="E8" s="52" t="n"/>
      <c r="F8" s="52" t="n"/>
      <c r="G8" s="26" t="n"/>
      <c r="H8" s="26" t="n"/>
      <c r="I8" s="52" t="n"/>
      <c r="J8" s="52" t="n"/>
      <c r="K8" s="26" t="n"/>
      <c r="L8" s="53" t="n"/>
      <c r="M8" s="53" t="n"/>
      <c r="N8" s="54" t="str">
        <f>IF(tblRisks[[#This Row],[Likelihood]]="","",IFERROR(MATCH(tblRisks[[#This Row],[Likelihood]],lstLevel3,0),""))</f>
        <v/>
      </c>
      <c r="O8" s="54" t="str">
        <f>IF(tblRisks[[#This Row],[Impact]]="","",IFERROR(MATCH(tblRisks[[#This Row],[Impact]],lstLevel3,0),""))</f>
        <v/>
      </c>
      <c r="P8" s="54" t="str">
        <f>IF(OR(tblRisks[[#This Row],[Likelihood Score]]="",tblRisks[[#This Row],[Impact Score]]=""),"",tblRisks[[#This Row],[Likelihood Score]]*tblRisks[[#This Row],[Impact Score]])</f>
        <v/>
      </c>
      <c r="Q8" s="56" t="str">
        <f>IF(tblRisks[[#This Row],[Exposure]]="","",IF(tblRisks[[#This Row],[Exposure]]&gt;=6,"High",IF(tblRisks[[#This Row],[Exposure]]&gt;=3,"Moderate","Low")))</f>
        <v/>
      </c>
      <c r="R8" s="54" t="str">
        <f>IF(tblRisks[[#This Row],[Last Reviewed]]="","",AsOf-tblRisks[[#This Row],[Last Reviewed]])</f>
        <v/>
      </c>
      <c r="S8" s="56" t="str">
        <f>IF(OR(tblRisks[[#This Row],[ID]]="",tblRisks[[#This Row],[Status]]="Closed"),"",IF(tblRisks[[#This Row],[Last Reviewed]]="","Never Reviewed",IF(AsOf-tblRisks[[#This Row],[Last Reviewed]]&gt;ReviewDays,"Review Overdue","Current")))</f>
        <v/>
      </c>
      <c r="T8" s="54"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9">
      <c r="A9" s="52" t="n"/>
      <c r="B9" s="26" t="n"/>
      <c r="C9" s="52" t="n"/>
      <c r="D9" s="52" t="n"/>
      <c r="E9" s="52" t="n"/>
      <c r="F9" s="52" t="n"/>
      <c r="G9" s="26" t="n"/>
      <c r="H9" s="26" t="n"/>
      <c r="I9" s="52" t="n"/>
      <c r="J9" s="52" t="n"/>
      <c r="K9" s="26" t="n"/>
      <c r="L9" s="53" t="n"/>
      <c r="M9" s="53" t="n"/>
      <c r="N9" s="54" t="str">
        <f>IF(tblRisks[[#This Row],[Likelihood]]="","",IFERROR(MATCH(tblRisks[[#This Row],[Likelihood]],lstLevel3,0),""))</f>
        <v/>
      </c>
      <c r="O9" s="54" t="str">
        <f>IF(tblRisks[[#This Row],[Impact]]="","",IFERROR(MATCH(tblRisks[[#This Row],[Impact]],lstLevel3,0),""))</f>
        <v/>
      </c>
      <c r="P9" s="54" t="str">
        <f>IF(OR(tblRisks[[#This Row],[Likelihood Score]]="",tblRisks[[#This Row],[Impact Score]]=""),"",tblRisks[[#This Row],[Likelihood Score]]*tblRisks[[#This Row],[Impact Score]])</f>
        <v/>
      </c>
      <c r="Q9" s="56" t="str">
        <f>IF(tblRisks[[#This Row],[Exposure]]="","",IF(tblRisks[[#This Row],[Exposure]]&gt;=6,"High",IF(tblRisks[[#This Row],[Exposure]]&gt;=3,"Moderate","Low")))</f>
        <v/>
      </c>
      <c r="R9" s="54" t="str">
        <f>IF(tblRisks[[#This Row],[Last Reviewed]]="","",AsOf-tblRisks[[#This Row],[Last Reviewed]])</f>
        <v/>
      </c>
      <c r="S9" s="56" t="str">
        <f>IF(OR(tblRisks[[#This Row],[ID]]="",tblRisks[[#This Row],[Status]]="Closed"),"",IF(tblRisks[[#This Row],[Last Reviewed]]="","Never Reviewed",IF(AsOf-tblRisks[[#This Row],[Last Reviewed]]&gt;ReviewDays,"Review Overdue","Current")))</f>
        <v/>
      </c>
      <c r="T9" s="54"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10">
      <c r="A10" s="52" t="n"/>
      <c r="B10" s="26" t="n"/>
      <c r="C10" s="52" t="n"/>
      <c r="D10" s="52" t="n"/>
      <c r="E10" s="52" t="n"/>
      <c r="F10" s="52" t="n"/>
      <c r="G10" s="26" t="n"/>
      <c r="H10" s="26" t="n"/>
      <c r="I10" s="52" t="n"/>
      <c r="J10" s="52" t="n"/>
      <c r="K10" s="26" t="n"/>
      <c r="L10" s="53" t="n"/>
      <c r="M10" s="53" t="n"/>
      <c r="N10" s="54" t="str">
        <f>IF(tblRisks[[#This Row],[Likelihood]]="","",IFERROR(MATCH(tblRisks[[#This Row],[Likelihood]],lstLevel3,0),""))</f>
        <v/>
      </c>
      <c r="O10" s="54" t="str">
        <f>IF(tblRisks[[#This Row],[Impact]]="","",IFERROR(MATCH(tblRisks[[#This Row],[Impact]],lstLevel3,0),""))</f>
        <v/>
      </c>
      <c r="P10" s="54" t="str">
        <f>IF(OR(tblRisks[[#This Row],[Likelihood Score]]="",tblRisks[[#This Row],[Impact Score]]=""),"",tblRisks[[#This Row],[Likelihood Score]]*tblRisks[[#This Row],[Impact Score]])</f>
        <v/>
      </c>
      <c r="Q10" s="56" t="str">
        <f>IF(tblRisks[[#This Row],[Exposure]]="","",IF(tblRisks[[#This Row],[Exposure]]&gt;=6,"High",IF(tblRisks[[#This Row],[Exposure]]&gt;=3,"Moderate","Low")))</f>
        <v/>
      </c>
      <c r="R10" s="54" t="str">
        <f>IF(tblRisks[[#This Row],[Last Reviewed]]="","",AsOf-tblRisks[[#This Row],[Last Reviewed]])</f>
        <v/>
      </c>
      <c r="S10" s="56" t="str">
        <f>IF(OR(tblRisks[[#This Row],[ID]]="",tblRisks[[#This Row],[Status]]="Closed"),"",IF(tblRisks[[#This Row],[Last Reviewed]]="","Never Reviewed",IF(AsOf-tblRisks[[#This Row],[Last Reviewed]]&gt;ReviewDays,"Review Overdue","Current")))</f>
        <v/>
      </c>
      <c r="T10" s="54"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11">
      <c r="A11" s="52" t="n"/>
      <c r="B11" s="26" t="n"/>
      <c r="C11" s="52" t="n"/>
      <c r="D11" s="52" t="n"/>
      <c r="E11" s="52" t="n"/>
      <c r="F11" s="52" t="n"/>
      <c r="G11" s="26" t="n"/>
      <c r="H11" s="26" t="n"/>
      <c r="I11" s="52" t="n"/>
      <c r="J11" s="52" t="n"/>
      <c r="K11" s="26" t="n"/>
      <c r="L11" s="53" t="n"/>
      <c r="M11" s="53" t="n"/>
      <c r="N11" s="54" t="str">
        <f>IF(tblRisks[[#This Row],[Likelihood]]="","",IFERROR(MATCH(tblRisks[[#This Row],[Likelihood]],lstLevel3,0),""))</f>
        <v/>
      </c>
      <c r="O11" s="54" t="str">
        <f>IF(tblRisks[[#This Row],[Impact]]="","",IFERROR(MATCH(tblRisks[[#This Row],[Impact]],lstLevel3,0),""))</f>
        <v/>
      </c>
      <c r="P11" s="54" t="str">
        <f>IF(OR(tblRisks[[#This Row],[Likelihood Score]]="",tblRisks[[#This Row],[Impact Score]]=""),"",tblRisks[[#This Row],[Likelihood Score]]*tblRisks[[#This Row],[Impact Score]])</f>
        <v/>
      </c>
      <c r="Q11" s="56" t="str">
        <f>IF(tblRisks[[#This Row],[Exposure]]="","",IF(tblRisks[[#This Row],[Exposure]]&gt;=6,"High",IF(tblRisks[[#This Row],[Exposure]]&gt;=3,"Moderate","Low")))</f>
        <v/>
      </c>
      <c r="R11" s="54" t="str">
        <f>IF(tblRisks[[#This Row],[Last Reviewed]]="","",AsOf-tblRisks[[#This Row],[Last Reviewed]])</f>
        <v/>
      </c>
      <c r="S11" s="56" t="str">
        <f>IF(OR(tblRisks[[#This Row],[ID]]="",tblRisks[[#This Row],[Status]]="Closed"),"",IF(tblRisks[[#This Row],[Last Reviewed]]="","Never Reviewed",IF(AsOf-tblRisks[[#This Row],[Last Reviewed]]&gt;ReviewDays,"Review Overdue","Current")))</f>
        <v/>
      </c>
      <c r="T11" s="54"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12">
      <c r="A12" s="52" t="n"/>
      <c r="B12" s="26" t="n"/>
      <c r="C12" s="52" t="n"/>
      <c r="D12" s="52" t="n"/>
      <c r="E12" s="52" t="n"/>
      <c r="F12" s="52" t="n"/>
      <c r="G12" s="26" t="n"/>
      <c r="H12" s="26" t="n"/>
      <c r="I12" s="52" t="n"/>
      <c r="J12" s="52" t="n"/>
      <c r="K12" s="26" t="n"/>
      <c r="L12" s="53" t="n"/>
      <c r="M12" s="53" t="n"/>
      <c r="N12" s="54" t="str">
        <f>IF(tblRisks[[#This Row],[Likelihood]]="","",IFERROR(MATCH(tblRisks[[#This Row],[Likelihood]],lstLevel3,0),""))</f>
        <v/>
      </c>
      <c r="O12" s="54" t="str">
        <f>IF(tblRisks[[#This Row],[Impact]]="","",IFERROR(MATCH(tblRisks[[#This Row],[Impact]],lstLevel3,0),""))</f>
        <v/>
      </c>
      <c r="P12" s="54" t="str">
        <f>IF(OR(tblRisks[[#This Row],[Likelihood Score]]="",tblRisks[[#This Row],[Impact Score]]=""),"",tblRisks[[#This Row],[Likelihood Score]]*tblRisks[[#This Row],[Impact Score]])</f>
        <v/>
      </c>
      <c r="Q12" s="56" t="str">
        <f>IF(tblRisks[[#This Row],[Exposure]]="","",IF(tblRisks[[#This Row],[Exposure]]&gt;=6,"High",IF(tblRisks[[#This Row],[Exposure]]&gt;=3,"Moderate","Low")))</f>
        <v/>
      </c>
      <c r="R12" s="54" t="str">
        <f>IF(tblRisks[[#This Row],[Last Reviewed]]="","",AsOf-tblRisks[[#This Row],[Last Reviewed]])</f>
        <v/>
      </c>
      <c r="S12" s="56" t="str">
        <f>IF(OR(tblRisks[[#This Row],[ID]]="",tblRisks[[#This Row],[Status]]="Closed"),"",IF(tblRisks[[#This Row],[Last Reviewed]]="","Never Reviewed",IF(AsOf-tblRisks[[#This Row],[Last Reviewed]]&gt;ReviewDays,"Review Overdue","Current")))</f>
        <v/>
      </c>
      <c r="T12" s="54"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13">
      <c r="A13" s="52" t="n"/>
      <c r="B13" s="26" t="n"/>
      <c r="C13" s="52" t="n"/>
      <c r="D13" s="52" t="n"/>
      <c r="E13" s="52" t="n"/>
      <c r="F13" s="52" t="n"/>
      <c r="G13" s="26" t="n"/>
      <c r="H13" s="26" t="n"/>
      <c r="I13" s="52" t="n"/>
      <c r="J13" s="52" t="n"/>
      <c r="K13" s="26" t="n"/>
      <c r="L13" s="53" t="n"/>
      <c r="M13" s="53" t="n"/>
      <c r="N13" s="54" t="str">
        <f>IF(tblRisks[[#This Row],[Likelihood]]="","",IFERROR(MATCH(tblRisks[[#This Row],[Likelihood]],lstLevel3,0),""))</f>
        <v/>
      </c>
      <c r="O13" s="54" t="str">
        <f>IF(tblRisks[[#This Row],[Impact]]="","",IFERROR(MATCH(tblRisks[[#This Row],[Impact]],lstLevel3,0),""))</f>
        <v/>
      </c>
      <c r="P13" s="54" t="str">
        <f>IF(OR(tblRisks[[#This Row],[Likelihood Score]]="",tblRisks[[#This Row],[Impact Score]]=""),"",tblRisks[[#This Row],[Likelihood Score]]*tblRisks[[#This Row],[Impact Score]])</f>
        <v/>
      </c>
      <c r="Q13" s="56" t="str">
        <f>IF(tblRisks[[#This Row],[Exposure]]="","",IF(tblRisks[[#This Row],[Exposure]]&gt;=6,"High",IF(tblRisks[[#This Row],[Exposure]]&gt;=3,"Moderate","Low")))</f>
        <v/>
      </c>
      <c r="R13" s="54" t="str">
        <f>IF(tblRisks[[#This Row],[Last Reviewed]]="","",AsOf-tblRisks[[#This Row],[Last Reviewed]])</f>
        <v/>
      </c>
      <c r="S13" s="56" t="str">
        <f>IF(OR(tblRisks[[#This Row],[ID]]="",tblRisks[[#This Row],[Status]]="Closed"),"",IF(tblRisks[[#This Row],[Last Reviewed]]="","Never Reviewed",IF(AsOf-tblRisks[[#This Row],[Last Reviewed]]&gt;ReviewDays,"Review Overdue","Current")))</f>
        <v/>
      </c>
      <c r="T13" s="54"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14">
      <c r="A14" s="52" t="n"/>
      <c r="B14" s="26" t="n"/>
      <c r="C14" s="52" t="n"/>
      <c r="D14" s="52" t="n"/>
      <c r="E14" s="52" t="n"/>
      <c r="F14" s="52" t="n"/>
      <c r="G14" s="26" t="n"/>
      <c r="H14" s="26" t="n"/>
      <c r="I14" s="52" t="n"/>
      <c r="J14" s="52" t="n"/>
      <c r="K14" s="26" t="n"/>
      <c r="L14" s="53" t="n"/>
      <c r="M14" s="53" t="n"/>
      <c r="N14" s="54" t="str">
        <f>IF(tblRisks[[#This Row],[Likelihood]]="","",IFERROR(MATCH(tblRisks[[#This Row],[Likelihood]],lstLevel3,0),""))</f>
        <v/>
      </c>
      <c r="O14" s="54" t="str">
        <f>IF(tblRisks[[#This Row],[Impact]]="","",IFERROR(MATCH(tblRisks[[#This Row],[Impact]],lstLevel3,0),""))</f>
        <v/>
      </c>
      <c r="P14" s="54" t="str">
        <f>IF(OR(tblRisks[[#This Row],[Likelihood Score]]="",tblRisks[[#This Row],[Impact Score]]=""),"",tblRisks[[#This Row],[Likelihood Score]]*tblRisks[[#This Row],[Impact Score]])</f>
        <v/>
      </c>
      <c r="Q14" s="56" t="str">
        <f>IF(tblRisks[[#This Row],[Exposure]]="","",IF(tblRisks[[#This Row],[Exposure]]&gt;=6,"High",IF(tblRisks[[#This Row],[Exposure]]&gt;=3,"Moderate","Low")))</f>
        <v/>
      </c>
      <c r="R14" s="54" t="str">
        <f>IF(tblRisks[[#This Row],[Last Reviewed]]="","",AsOf-tblRisks[[#This Row],[Last Reviewed]])</f>
        <v/>
      </c>
      <c r="S14" s="56" t="str">
        <f>IF(OR(tblRisks[[#This Row],[ID]]="",tblRisks[[#This Row],[Status]]="Closed"),"",IF(tblRisks[[#This Row],[Last Reviewed]]="","Never Reviewed",IF(AsOf-tblRisks[[#This Row],[Last Reviewed]]&gt;ReviewDays,"Review Overdue","Current")))</f>
        <v/>
      </c>
      <c r="T14" s="54"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15">
      <c r="A15" s="52" t="n"/>
      <c r="B15" s="26" t="n"/>
      <c r="C15" s="52" t="n"/>
      <c r="D15" s="52" t="n"/>
      <c r="E15" s="52" t="n"/>
      <c r="F15" s="52" t="n"/>
      <c r="G15" s="26" t="n"/>
      <c r="H15" s="26" t="n"/>
      <c r="I15" s="52" t="n"/>
      <c r="J15" s="52" t="n"/>
      <c r="K15" s="26" t="n"/>
      <c r="L15" s="53" t="n"/>
      <c r="M15" s="53" t="n"/>
      <c r="N15" s="54" t="str">
        <f>IF(tblRisks[[#This Row],[Likelihood]]="","",IFERROR(MATCH(tblRisks[[#This Row],[Likelihood]],lstLevel3,0),""))</f>
        <v/>
      </c>
      <c r="O15" s="54" t="str">
        <f>IF(tblRisks[[#This Row],[Impact]]="","",IFERROR(MATCH(tblRisks[[#This Row],[Impact]],lstLevel3,0),""))</f>
        <v/>
      </c>
      <c r="P15" s="54" t="str">
        <f>IF(OR(tblRisks[[#This Row],[Likelihood Score]]="",tblRisks[[#This Row],[Impact Score]]=""),"",tblRisks[[#This Row],[Likelihood Score]]*tblRisks[[#This Row],[Impact Score]])</f>
        <v/>
      </c>
      <c r="Q15" s="56" t="str">
        <f>IF(tblRisks[[#This Row],[Exposure]]="","",IF(tblRisks[[#This Row],[Exposure]]&gt;=6,"High",IF(tblRisks[[#This Row],[Exposure]]&gt;=3,"Moderate","Low")))</f>
        <v/>
      </c>
      <c r="R15" s="54" t="str">
        <f>IF(tblRisks[[#This Row],[Last Reviewed]]="","",AsOf-tblRisks[[#This Row],[Last Reviewed]])</f>
        <v/>
      </c>
      <c r="S15" s="56" t="str">
        <f>IF(OR(tblRisks[[#This Row],[ID]]="",tblRisks[[#This Row],[Status]]="Closed"),"",IF(tblRisks[[#This Row],[Last Reviewed]]="","Never Reviewed",IF(AsOf-tblRisks[[#This Row],[Last Reviewed]]&gt;ReviewDays,"Review Overdue","Current")))</f>
        <v/>
      </c>
      <c r="T15" s="54"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16">
      <c r="A16" s="52" t="n"/>
      <c r="B16" s="26" t="n"/>
      <c r="C16" s="52" t="n"/>
      <c r="D16" s="52" t="n"/>
      <c r="E16" s="52" t="n"/>
      <c r="F16" s="52" t="n"/>
      <c r="G16" s="26" t="n"/>
      <c r="H16" s="26" t="n"/>
      <c r="I16" s="52" t="n"/>
      <c r="J16" s="52" t="n"/>
      <c r="K16" s="26" t="n"/>
      <c r="L16" s="53" t="n"/>
      <c r="M16" s="53" t="n"/>
      <c r="N16" s="54" t="str">
        <f>IF(tblRisks[[#This Row],[Likelihood]]="","",IFERROR(MATCH(tblRisks[[#This Row],[Likelihood]],lstLevel3,0),""))</f>
        <v/>
      </c>
      <c r="O16" s="54" t="str">
        <f>IF(tblRisks[[#This Row],[Impact]]="","",IFERROR(MATCH(tblRisks[[#This Row],[Impact]],lstLevel3,0),""))</f>
        <v/>
      </c>
      <c r="P16" s="54" t="str">
        <f>IF(OR(tblRisks[[#This Row],[Likelihood Score]]="",tblRisks[[#This Row],[Impact Score]]=""),"",tblRisks[[#This Row],[Likelihood Score]]*tblRisks[[#This Row],[Impact Score]])</f>
        <v/>
      </c>
      <c r="Q16" s="56" t="str">
        <f>IF(tblRisks[[#This Row],[Exposure]]="","",IF(tblRisks[[#This Row],[Exposure]]&gt;=6,"High",IF(tblRisks[[#This Row],[Exposure]]&gt;=3,"Moderate","Low")))</f>
        <v/>
      </c>
      <c r="R16" s="54" t="str">
        <f>IF(tblRisks[[#This Row],[Last Reviewed]]="","",AsOf-tblRisks[[#This Row],[Last Reviewed]])</f>
        <v/>
      </c>
      <c r="S16" s="56" t="str">
        <f>IF(OR(tblRisks[[#This Row],[ID]]="",tblRisks[[#This Row],[Status]]="Closed"),"",IF(tblRisks[[#This Row],[Last Reviewed]]="","Never Reviewed",IF(AsOf-tblRisks[[#This Row],[Last Reviewed]]&gt;ReviewDays,"Review Overdue","Current")))</f>
        <v/>
      </c>
      <c r="T16" s="54"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17">
      <c r="A17" s="52" t="n"/>
      <c r="B17" s="26" t="n"/>
      <c r="C17" s="52" t="n"/>
      <c r="D17" s="52" t="n"/>
      <c r="E17" s="52" t="n"/>
      <c r="F17" s="52" t="n"/>
      <c r="G17" s="26" t="n"/>
      <c r="H17" s="26" t="n"/>
      <c r="I17" s="52" t="n"/>
      <c r="J17" s="52" t="n"/>
      <c r="K17" s="26" t="n"/>
      <c r="L17" s="53" t="n"/>
      <c r="M17" s="53" t="n"/>
      <c r="N17" s="54" t="str">
        <f>IF(tblRisks[[#This Row],[Likelihood]]="","",IFERROR(MATCH(tblRisks[[#This Row],[Likelihood]],lstLevel3,0),""))</f>
        <v/>
      </c>
      <c r="O17" s="54" t="str">
        <f>IF(tblRisks[[#This Row],[Impact]]="","",IFERROR(MATCH(tblRisks[[#This Row],[Impact]],lstLevel3,0),""))</f>
        <v/>
      </c>
      <c r="P17" s="54" t="str">
        <f>IF(OR(tblRisks[[#This Row],[Likelihood Score]]="",tblRisks[[#This Row],[Impact Score]]=""),"",tblRisks[[#This Row],[Likelihood Score]]*tblRisks[[#This Row],[Impact Score]])</f>
        <v/>
      </c>
      <c r="Q17" s="56" t="str">
        <f>IF(tblRisks[[#This Row],[Exposure]]="","",IF(tblRisks[[#This Row],[Exposure]]&gt;=6,"High",IF(tblRisks[[#This Row],[Exposure]]&gt;=3,"Moderate","Low")))</f>
        <v/>
      </c>
      <c r="R17" s="54" t="str">
        <f>IF(tblRisks[[#This Row],[Last Reviewed]]="","",AsOf-tblRisks[[#This Row],[Last Reviewed]])</f>
        <v/>
      </c>
      <c r="S17" s="56" t="str">
        <f>IF(OR(tblRisks[[#This Row],[ID]]="",tblRisks[[#This Row],[Status]]="Closed"),"",IF(tblRisks[[#This Row],[Last Reviewed]]="","Never Reviewed",IF(AsOf-tblRisks[[#This Row],[Last Reviewed]]&gt;ReviewDays,"Review Overdue","Current")))</f>
        <v/>
      </c>
      <c r="T17" s="54"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18">
      <c r="A18" s="52" t="n"/>
      <c r="B18" s="26" t="n"/>
      <c r="C18" s="52" t="n"/>
      <c r="D18" s="52" t="n"/>
      <c r="E18" s="52" t="n"/>
      <c r="F18" s="52" t="n"/>
      <c r="G18" s="26" t="n"/>
      <c r="H18" s="26" t="n"/>
      <c r="I18" s="52" t="n"/>
      <c r="J18" s="52" t="n"/>
      <c r="K18" s="26" t="n"/>
      <c r="L18" s="53" t="n"/>
      <c r="M18" s="53" t="n"/>
      <c r="N18" s="54" t="str">
        <f>IF(tblRisks[[#This Row],[Likelihood]]="","",IFERROR(MATCH(tblRisks[[#This Row],[Likelihood]],lstLevel3,0),""))</f>
        <v/>
      </c>
      <c r="O18" s="54" t="str">
        <f>IF(tblRisks[[#This Row],[Impact]]="","",IFERROR(MATCH(tblRisks[[#This Row],[Impact]],lstLevel3,0),""))</f>
        <v/>
      </c>
      <c r="P18" s="54" t="str">
        <f>IF(OR(tblRisks[[#This Row],[Likelihood Score]]="",tblRisks[[#This Row],[Impact Score]]=""),"",tblRisks[[#This Row],[Likelihood Score]]*tblRisks[[#This Row],[Impact Score]])</f>
        <v/>
      </c>
      <c r="Q18" s="56" t="str">
        <f>IF(tblRisks[[#This Row],[Exposure]]="","",IF(tblRisks[[#This Row],[Exposure]]&gt;=6,"High",IF(tblRisks[[#This Row],[Exposure]]&gt;=3,"Moderate","Low")))</f>
        <v/>
      </c>
      <c r="R18" s="54" t="str">
        <f>IF(tblRisks[[#This Row],[Last Reviewed]]="","",AsOf-tblRisks[[#This Row],[Last Reviewed]])</f>
        <v/>
      </c>
      <c r="S18" s="56" t="str">
        <f>IF(OR(tblRisks[[#This Row],[ID]]="",tblRisks[[#This Row],[Status]]="Closed"),"",IF(tblRisks[[#This Row],[Last Reviewed]]="","Never Reviewed",IF(AsOf-tblRisks[[#This Row],[Last Reviewed]]&gt;ReviewDays,"Review Overdue","Current")))</f>
        <v/>
      </c>
      <c r="T18" s="54"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19">
      <c r="A19" s="52" t="n"/>
      <c r="B19" s="26" t="n"/>
      <c r="C19" s="52" t="n"/>
      <c r="D19" s="52" t="n"/>
      <c r="E19" s="52" t="n"/>
      <c r="F19" s="52" t="n"/>
      <c r="G19" s="26" t="n"/>
      <c r="H19" s="26" t="n"/>
      <c r="I19" s="52" t="n"/>
      <c r="J19" s="52" t="n"/>
      <c r="K19" s="26" t="n"/>
      <c r="L19" s="53" t="n"/>
      <c r="M19" s="53" t="n"/>
      <c r="N19" s="54" t="str">
        <f>IF(tblRisks[[#This Row],[Likelihood]]="","",IFERROR(MATCH(tblRisks[[#This Row],[Likelihood]],lstLevel3,0),""))</f>
        <v/>
      </c>
      <c r="O19" s="54" t="str">
        <f>IF(tblRisks[[#This Row],[Impact]]="","",IFERROR(MATCH(tblRisks[[#This Row],[Impact]],lstLevel3,0),""))</f>
        <v/>
      </c>
      <c r="P19" s="54" t="str">
        <f>IF(OR(tblRisks[[#This Row],[Likelihood Score]]="",tblRisks[[#This Row],[Impact Score]]=""),"",tblRisks[[#This Row],[Likelihood Score]]*tblRisks[[#This Row],[Impact Score]])</f>
        <v/>
      </c>
      <c r="Q19" s="56" t="str">
        <f>IF(tblRisks[[#This Row],[Exposure]]="","",IF(tblRisks[[#This Row],[Exposure]]&gt;=6,"High",IF(tblRisks[[#This Row],[Exposure]]&gt;=3,"Moderate","Low")))</f>
        <v/>
      </c>
      <c r="R19" s="54" t="str">
        <f>IF(tblRisks[[#This Row],[Last Reviewed]]="","",AsOf-tblRisks[[#This Row],[Last Reviewed]])</f>
        <v/>
      </c>
      <c r="S19" s="56" t="str">
        <f>IF(OR(tblRisks[[#This Row],[ID]]="",tblRisks[[#This Row],[Status]]="Closed"),"",IF(tblRisks[[#This Row],[Last Reviewed]]="","Never Reviewed",IF(AsOf-tblRisks[[#This Row],[Last Reviewed]]&gt;ReviewDays,"Review Overdue","Current")))</f>
        <v/>
      </c>
      <c r="T19" s="54"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20">
      <c r="A20" s="52" t="n"/>
      <c r="B20" s="26" t="n"/>
      <c r="C20" s="52" t="n"/>
      <c r="D20" s="52" t="n"/>
      <c r="E20" s="52" t="n"/>
      <c r="F20" s="52" t="n"/>
      <c r="G20" s="26" t="n"/>
      <c r="H20" s="26" t="n"/>
      <c r="I20" s="52" t="n"/>
      <c r="J20" s="52" t="n"/>
      <c r="K20" s="26" t="n"/>
      <c r="L20" s="53" t="n"/>
      <c r="M20" s="53" t="n"/>
      <c r="N20" s="54" t="str">
        <f>IF(tblRisks[[#This Row],[Likelihood]]="","",IFERROR(MATCH(tblRisks[[#This Row],[Likelihood]],lstLevel3,0),""))</f>
        <v/>
      </c>
      <c r="O20" s="54" t="str">
        <f>IF(tblRisks[[#This Row],[Impact]]="","",IFERROR(MATCH(tblRisks[[#This Row],[Impact]],lstLevel3,0),""))</f>
        <v/>
      </c>
      <c r="P20" s="54" t="str">
        <f>IF(OR(tblRisks[[#This Row],[Likelihood Score]]="",tblRisks[[#This Row],[Impact Score]]=""),"",tblRisks[[#This Row],[Likelihood Score]]*tblRisks[[#This Row],[Impact Score]])</f>
        <v/>
      </c>
      <c r="Q20" s="56" t="str">
        <f>IF(tblRisks[[#This Row],[Exposure]]="","",IF(tblRisks[[#This Row],[Exposure]]&gt;=6,"High",IF(tblRisks[[#This Row],[Exposure]]&gt;=3,"Moderate","Low")))</f>
        <v/>
      </c>
      <c r="R20" s="54" t="str">
        <f>IF(tblRisks[[#This Row],[Last Reviewed]]="","",AsOf-tblRisks[[#This Row],[Last Reviewed]])</f>
        <v/>
      </c>
      <c r="S20" s="56" t="str">
        <f>IF(OR(tblRisks[[#This Row],[ID]]="",tblRisks[[#This Row],[Status]]="Closed"),"",IF(tblRisks[[#This Row],[Last Reviewed]]="","Never Reviewed",IF(AsOf-tblRisks[[#This Row],[Last Reviewed]]&gt;ReviewDays,"Review Overdue","Current")))</f>
        <v/>
      </c>
      <c r="T20" s="54"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21">
      <c r="A21" s="52" t="n"/>
      <c r="B21" s="26" t="n"/>
      <c r="C21" s="52" t="n"/>
      <c r="D21" s="52" t="n"/>
      <c r="E21" s="52" t="n"/>
      <c r="F21" s="52" t="n"/>
      <c r="G21" s="26" t="n"/>
      <c r="H21" s="26" t="n"/>
      <c r="I21" s="52" t="n"/>
      <c r="J21" s="52" t="n"/>
      <c r="K21" s="26" t="n"/>
      <c r="L21" s="53" t="n"/>
      <c r="M21" s="53" t="n"/>
      <c r="N21" s="54" t="str">
        <f>IF(tblRisks[[#This Row],[Likelihood]]="","",IFERROR(MATCH(tblRisks[[#This Row],[Likelihood]],lstLevel3,0),""))</f>
        <v/>
      </c>
      <c r="O21" s="54" t="str">
        <f>IF(tblRisks[[#This Row],[Impact]]="","",IFERROR(MATCH(tblRisks[[#This Row],[Impact]],lstLevel3,0),""))</f>
        <v/>
      </c>
      <c r="P21" s="54" t="str">
        <f>IF(OR(tblRisks[[#This Row],[Likelihood Score]]="",tblRisks[[#This Row],[Impact Score]]=""),"",tblRisks[[#This Row],[Likelihood Score]]*tblRisks[[#This Row],[Impact Score]])</f>
        <v/>
      </c>
      <c r="Q21" s="56" t="str">
        <f>IF(tblRisks[[#This Row],[Exposure]]="","",IF(tblRisks[[#This Row],[Exposure]]&gt;=6,"High",IF(tblRisks[[#This Row],[Exposure]]&gt;=3,"Moderate","Low")))</f>
        <v/>
      </c>
      <c r="R21" s="54" t="str">
        <f>IF(tblRisks[[#This Row],[Last Reviewed]]="","",AsOf-tblRisks[[#This Row],[Last Reviewed]])</f>
        <v/>
      </c>
      <c r="S21" s="56" t="str">
        <f>IF(OR(tblRisks[[#This Row],[ID]]="",tblRisks[[#This Row],[Status]]="Closed"),"",IF(tblRisks[[#This Row],[Last Reviewed]]="","Never Reviewed",IF(AsOf-tblRisks[[#This Row],[Last Reviewed]]&gt;ReviewDays,"Review Overdue","Current")))</f>
        <v/>
      </c>
      <c r="T21" s="54"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22">
      <c r="A22" s="52" t="n"/>
      <c r="B22" s="26" t="n"/>
      <c r="C22" s="52" t="n"/>
      <c r="D22" s="52" t="n"/>
      <c r="E22" s="52" t="n"/>
      <c r="F22" s="52" t="n"/>
      <c r="G22" s="26" t="n"/>
      <c r="H22" s="26" t="n"/>
      <c r="I22" s="52" t="n"/>
      <c r="J22" s="52" t="n"/>
      <c r="K22" s="26" t="n"/>
      <c r="L22" s="53" t="n"/>
      <c r="M22" s="53" t="n"/>
      <c r="N22" s="54" t="str">
        <f>IF(tblRisks[[#This Row],[Likelihood]]="","",IFERROR(MATCH(tblRisks[[#This Row],[Likelihood]],lstLevel3,0),""))</f>
        <v/>
      </c>
      <c r="O22" s="54" t="str">
        <f>IF(tblRisks[[#This Row],[Impact]]="","",IFERROR(MATCH(tblRisks[[#This Row],[Impact]],lstLevel3,0),""))</f>
        <v/>
      </c>
      <c r="P22" s="54" t="str">
        <f>IF(OR(tblRisks[[#This Row],[Likelihood Score]]="",tblRisks[[#This Row],[Impact Score]]=""),"",tblRisks[[#This Row],[Likelihood Score]]*tblRisks[[#This Row],[Impact Score]])</f>
        <v/>
      </c>
      <c r="Q22" s="56" t="str">
        <f>IF(tblRisks[[#This Row],[Exposure]]="","",IF(tblRisks[[#This Row],[Exposure]]&gt;=6,"High",IF(tblRisks[[#This Row],[Exposure]]&gt;=3,"Moderate","Low")))</f>
        <v/>
      </c>
      <c r="R22" s="54" t="str">
        <f>IF(tblRisks[[#This Row],[Last Reviewed]]="","",AsOf-tblRisks[[#This Row],[Last Reviewed]])</f>
        <v/>
      </c>
      <c r="S22" s="56" t="str">
        <f>IF(OR(tblRisks[[#This Row],[ID]]="",tblRisks[[#This Row],[Status]]="Closed"),"",IF(tblRisks[[#This Row],[Last Reviewed]]="","Never Reviewed",IF(AsOf-tblRisks[[#This Row],[Last Reviewed]]&gt;ReviewDays,"Review Overdue","Current")))</f>
        <v/>
      </c>
      <c r="T22" s="54"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23">
      <c r="A23" s="52" t="n"/>
      <c r="B23" s="26" t="n"/>
      <c r="C23" s="52" t="n"/>
      <c r="D23" s="52" t="n"/>
      <c r="E23" s="52" t="n"/>
      <c r="F23" s="52" t="n"/>
      <c r="G23" s="26" t="n"/>
      <c r="H23" s="26" t="n"/>
      <c r="I23" s="52" t="n"/>
      <c r="J23" s="52" t="n"/>
      <c r="K23" s="26" t="n"/>
      <c r="L23" s="53" t="n"/>
      <c r="M23" s="53" t="n"/>
      <c r="N23" s="54" t="str">
        <f>IF(tblRisks[[#This Row],[Likelihood]]="","",IFERROR(MATCH(tblRisks[[#This Row],[Likelihood]],lstLevel3,0),""))</f>
        <v/>
      </c>
      <c r="O23" s="54" t="str">
        <f>IF(tblRisks[[#This Row],[Impact]]="","",IFERROR(MATCH(tblRisks[[#This Row],[Impact]],lstLevel3,0),""))</f>
        <v/>
      </c>
      <c r="P23" s="54" t="str">
        <f>IF(OR(tblRisks[[#This Row],[Likelihood Score]]="",tblRisks[[#This Row],[Impact Score]]=""),"",tblRisks[[#This Row],[Likelihood Score]]*tblRisks[[#This Row],[Impact Score]])</f>
        <v/>
      </c>
      <c r="Q23" s="56" t="str">
        <f>IF(tblRisks[[#This Row],[Exposure]]="","",IF(tblRisks[[#This Row],[Exposure]]&gt;=6,"High",IF(tblRisks[[#This Row],[Exposure]]&gt;=3,"Moderate","Low")))</f>
        <v/>
      </c>
      <c r="R23" s="54" t="str">
        <f>IF(tblRisks[[#This Row],[Last Reviewed]]="","",AsOf-tblRisks[[#This Row],[Last Reviewed]])</f>
        <v/>
      </c>
      <c r="S23" s="56" t="str">
        <f>IF(OR(tblRisks[[#This Row],[ID]]="",tblRisks[[#This Row],[Status]]="Closed"),"",IF(tblRisks[[#This Row],[Last Reviewed]]="","Never Reviewed",IF(AsOf-tblRisks[[#This Row],[Last Reviewed]]&gt;ReviewDays,"Review Overdue","Current")))</f>
        <v/>
      </c>
      <c r="T23" s="54"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24">
      <c r="A24" s="52" t="n"/>
      <c r="B24" s="26" t="n"/>
      <c r="C24" s="52" t="n"/>
      <c r="D24" s="52" t="n"/>
      <c r="E24" s="52" t="n"/>
      <c r="F24" s="52" t="n"/>
      <c r="G24" s="26" t="n"/>
      <c r="H24" s="26" t="n"/>
      <c r="I24" s="52" t="n"/>
      <c r="J24" s="52" t="n"/>
      <c r="K24" s="26" t="n"/>
      <c r="L24" s="53" t="n"/>
      <c r="M24" s="53" t="n"/>
      <c r="N24" s="54" t="str">
        <f>IF(tblRisks[[#This Row],[Likelihood]]="","",IFERROR(MATCH(tblRisks[[#This Row],[Likelihood]],lstLevel3,0),""))</f>
        <v/>
      </c>
      <c r="O24" s="54" t="str">
        <f>IF(tblRisks[[#This Row],[Impact]]="","",IFERROR(MATCH(tblRisks[[#This Row],[Impact]],lstLevel3,0),""))</f>
        <v/>
      </c>
      <c r="P24" s="54" t="str">
        <f>IF(OR(tblRisks[[#This Row],[Likelihood Score]]="",tblRisks[[#This Row],[Impact Score]]=""),"",tblRisks[[#This Row],[Likelihood Score]]*tblRisks[[#This Row],[Impact Score]])</f>
        <v/>
      </c>
      <c r="Q24" s="56" t="str">
        <f>IF(tblRisks[[#This Row],[Exposure]]="","",IF(tblRisks[[#This Row],[Exposure]]&gt;=6,"High",IF(tblRisks[[#This Row],[Exposure]]&gt;=3,"Moderate","Low")))</f>
        <v/>
      </c>
      <c r="R24" s="54" t="str">
        <f>IF(tblRisks[[#This Row],[Last Reviewed]]="","",AsOf-tblRisks[[#This Row],[Last Reviewed]])</f>
        <v/>
      </c>
      <c r="S24" s="56" t="str">
        <f>IF(OR(tblRisks[[#This Row],[ID]]="",tblRisks[[#This Row],[Status]]="Closed"),"",IF(tblRisks[[#This Row],[Last Reviewed]]="","Never Reviewed",IF(AsOf-tblRisks[[#This Row],[Last Reviewed]]&gt;ReviewDays,"Review Overdue","Current")))</f>
        <v/>
      </c>
      <c r="T24" s="54"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25">
      <c r="A25" s="52" t="n"/>
      <c r="B25" s="26" t="n"/>
      <c r="C25" s="52" t="n"/>
      <c r="D25" s="52" t="n"/>
      <c r="E25" s="52" t="n"/>
      <c r="F25" s="52" t="n"/>
      <c r="G25" s="26" t="n"/>
      <c r="H25" s="26" t="n"/>
      <c r="I25" s="52" t="n"/>
      <c r="J25" s="52" t="n"/>
      <c r="K25" s="26" t="n"/>
      <c r="L25" s="53" t="n"/>
      <c r="M25" s="53" t="n"/>
      <c r="N25" s="54" t="str">
        <f>IF(tblRisks[[#This Row],[Likelihood]]="","",IFERROR(MATCH(tblRisks[[#This Row],[Likelihood]],lstLevel3,0),""))</f>
        <v/>
      </c>
      <c r="O25" s="54" t="str">
        <f>IF(tblRisks[[#This Row],[Impact]]="","",IFERROR(MATCH(tblRisks[[#This Row],[Impact]],lstLevel3,0),""))</f>
        <v/>
      </c>
      <c r="P25" s="54" t="str">
        <f>IF(OR(tblRisks[[#This Row],[Likelihood Score]]="",tblRisks[[#This Row],[Impact Score]]=""),"",tblRisks[[#This Row],[Likelihood Score]]*tblRisks[[#This Row],[Impact Score]])</f>
        <v/>
      </c>
      <c r="Q25" s="56" t="str">
        <f>IF(tblRisks[[#This Row],[Exposure]]="","",IF(tblRisks[[#This Row],[Exposure]]&gt;=6,"High",IF(tblRisks[[#This Row],[Exposure]]&gt;=3,"Moderate","Low")))</f>
        <v/>
      </c>
      <c r="R25" s="54" t="str">
        <f>IF(tblRisks[[#This Row],[Last Reviewed]]="","",AsOf-tblRisks[[#This Row],[Last Reviewed]])</f>
        <v/>
      </c>
      <c r="S25" s="56" t="str">
        <f>IF(OR(tblRisks[[#This Row],[ID]]="",tblRisks[[#This Row],[Status]]="Closed"),"",IF(tblRisks[[#This Row],[Last Reviewed]]="","Never Reviewed",IF(AsOf-tblRisks[[#This Row],[Last Reviewed]]&gt;ReviewDays,"Review Overdue","Current")))</f>
        <v/>
      </c>
      <c r="T25" s="54"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26">
      <c r="A26" s="52" t="n"/>
      <c r="B26" s="26" t="n"/>
      <c r="C26" s="52" t="n"/>
      <c r="D26" s="52" t="n"/>
      <c r="E26" s="52" t="n"/>
      <c r="F26" s="52" t="n"/>
      <c r="G26" s="26" t="n"/>
      <c r="H26" s="26" t="n"/>
      <c r="I26" s="52" t="n"/>
      <c r="J26" s="52" t="n"/>
      <c r="K26" s="26" t="n"/>
      <c r="L26" s="53" t="n"/>
      <c r="M26" s="53" t="n"/>
      <c r="N26" s="54" t="str">
        <f>IF(tblRisks[[#This Row],[Likelihood]]="","",IFERROR(MATCH(tblRisks[[#This Row],[Likelihood]],lstLevel3,0),""))</f>
        <v/>
      </c>
      <c r="O26" s="54" t="str">
        <f>IF(tblRisks[[#This Row],[Impact]]="","",IFERROR(MATCH(tblRisks[[#This Row],[Impact]],lstLevel3,0),""))</f>
        <v/>
      </c>
      <c r="P26" s="54" t="str">
        <f>IF(OR(tblRisks[[#This Row],[Likelihood Score]]="",tblRisks[[#This Row],[Impact Score]]=""),"",tblRisks[[#This Row],[Likelihood Score]]*tblRisks[[#This Row],[Impact Score]])</f>
        <v/>
      </c>
      <c r="Q26" s="56" t="str">
        <f>IF(tblRisks[[#This Row],[Exposure]]="","",IF(tblRisks[[#This Row],[Exposure]]&gt;=6,"High",IF(tblRisks[[#This Row],[Exposure]]&gt;=3,"Moderate","Low")))</f>
        <v/>
      </c>
      <c r="R26" s="54" t="str">
        <f>IF(tblRisks[[#This Row],[Last Reviewed]]="","",AsOf-tblRisks[[#This Row],[Last Reviewed]])</f>
        <v/>
      </c>
      <c r="S26" s="56" t="str">
        <f>IF(OR(tblRisks[[#This Row],[ID]]="",tblRisks[[#This Row],[Status]]="Closed"),"",IF(tblRisks[[#This Row],[Last Reviewed]]="","Never Reviewed",IF(AsOf-tblRisks[[#This Row],[Last Reviewed]]&gt;ReviewDays,"Review Overdue","Current")))</f>
        <v/>
      </c>
      <c r="T26" s="54"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27">
      <c r="A27" s="52" t="n"/>
      <c r="B27" s="26" t="n"/>
      <c r="C27" s="52" t="n"/>
      <c r="D27" s="52" t="n"/>
      <c r="E27" s="52" t="n"/>
      <c r="F27" s="52" t="n"/>
      <c r="G27" s="26" t="n"/>
      <c r="H27" s="26" t="n"/>
      <c r="I27" s="52" t="n"/>
      <c r="J27" s="52" t="n"/>
      <c r="K27" s="26" t="n"/>
      <c r="L27" s="53" t="n"/>
      <c r="M27" s="53" t="n"/>
      <c r="N27" s="54" t="str">
        <f>IF(tblRisks[[#This Row],[Likelihood]]="","",IFERROR(MATCH(tblRisks[[#This Row],[Likelihood]],lstLevel3,0),""))</f>
        <v/>
      </c>
      <c r="O27" s="54" t="str">
        <f>IF(tblRisks[[#This Row],[Impact]]="","",IFERROR(MATCH(tblRisks[[#This Row],[Impact]],lstLevel3,0),""))</f>
        <v/>
      </c>
      <c r="P27" s="54" t="str">
        <f>IF(OR(tblRisks[[#This Row],[Likelihood Score]]="",tblRisks[[#This Row],[Impact Score]]=""),"",tblRisks[[#This Row],[Likelihood Score]]*tblRisks[[#This Row],[Impact Score]])</f>
        <v/>
      </c>
      <c r="Q27" s="56" t="str">
        <f>IF(tblRisks[[#This Row],[Exposure]]="","",IF(tblRisks[[#This Row],[Exposure]]&gt;=6,"High",IF(tblRisks[[#This Row],[Exposure]]&gt;=3,"Moderate","Low")))</f>
        <v/>
      </c>
      <c r="R27" s="54" t="str">
        <f>IF(tblRisks[[#This Row],[Last Reviewed]]="","",AsOf-tblRisks[[#This Row],[Last Reviewed]])</f>
        <v/>
      </c>
      <c r="S27" s="56" t="str">
        <f>IF(OR(tblRisks[[#This Row],[ID]]="",tblRisks[[#This Row],[Status]]="Closed"),"",IF(tblRisks[[#This Row],[Last Reviewed]]="","Never Reviewed",IF(AsOf-tblRisks[[#This Row],[Last Reviewed]]&gt;ReviewDays,"Review Overdue","Current")))</f>
        <v/>
      </c>
      <c r="T27" s="54"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28">
      <c r="A28" s="52" t="n"/>
      <c r="B28" s="26" t="n"/>
      <c r="C28" s="52" t="n"/>
      <c r="D28" s="52" t="n"/>
      <c r="E28" s="52" t="n"/>
      <c r="F28" s="52" t="n"/>
      <c r="G28" s="26" t="n"/>
      <c r="H28" s="26" t="n"/>
      <c r="I28" s="52" t="n"/>
      <c r="J28" s="52" t="n"/>
      <c r="K28" s="26" t="n"/>
      <c r="L28" s="53" t="n"/>
      <c r="M28" s="53" t="n"/>
      <c r="N28" s="54" t="str">
        <f>IF(tblRisks[[#This Row],[Likelihood]]="","",IFERROR(MATCH(tblRisks[[#This Row],[Likelihood]],lstLevel3,0),""))</f>
        <v/>
      </c>
      <c r="O28" s="54" t="str">
        <f>IF(tblRisks[[#This Row],[Impact]]="","",IFERROR(MATCH(tblRisks[[#This Row],[Impact]],lstLevel3,0),""))</f>
        <v/>
      </c>
      <c r="P28" s="54" t="str">
        <f>IF(OR(tblRisks[[#This Row],[Likelihood Score]]="",tblRisks[[#This Row],[Impact Score]]=""),"",tblRisks[[#This Row],[Likelihood Score]]*tblRisks[[#This Row],[Impact Score]])</f>
        <v/>
      </c>
      <c r="Q28" s="56" t="str">
        <f>IF(tblRisks[[#This Row],[Exposure]]="","",IF(tblRisks[[#This Row],[Exposure]]&gt;=6,"High",IF(tblRisks[[#This Row],[Exposure]]&gt;=3,"Moderate","Low")))</f>
        <v/>
      </c>
      <c r="R28" s="54" t="str">
        <f>IF(tblRisks[[#This Row],[Last Reviewed]]="","",AsOf-tblRisks[[#This Row],[Last Reviewed]])</f>
        <v/>
      </c>
      <c r="S28" s="56" t="str">
        <f>IF(OR(tblRisks[[#This Row],[ID]]="",tblRisks[[#This Row],[Status]]="Closed"),"",IF(tblRisks[[#This Row],[Last Reviewed]]="","Never Reviewed",IF(AsOf-tblRisks[[#This Row],[Last Reviewed]]&gt;ReviewDays,"Review Overdue","Current")))</f>
        <v/>
      </c>
      <c r="T28" s="54"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29">
      <c r="A29" s="52" t="n"/>
      <c r="B29" s="26" t="n"/>
      <c r="C29" s="52" t="n"/>
      <c r="D29" s="52" t="n"/>
      <c r="E29" s="52" t="n"/>
      <c r="F29" s="52" t="n"/>
      <c r="G29" s="26" t="n"/>
      <c r="H29" s="26" t="n"/>
      <c r="I29" s="52" t="n"/>
      <c r="J29" s="52" t="n"/>
      <c r="K29" s="26" t="n"/>
      <c r="L29" s="53" t="n"/>
      <c r="M29" s="53" t="n"/>
      <c r="N29" s="54" t="str">
        <f>IF(tblRisks[[#This Row],[Likelihood]]="","",IFERROR(MATCH(tblRisks[[#This Row],[Likelihood]],lstLevel3,0),""))</f>
        <v/>
      </c>
      <c r="O29" s="54" t="str">
        <f>IF(tblRisks[[#This Row],[Impact]]="","",IFERROR(MATCH(tblRisks[[#This Row],[Impact]],lstLevel3,0),""))</f>
        <v/>
      </c>
      <c r="P29" s="54" t="str">
        <f>IF(OR(tblRisks[[#This Row],[Likelihood Score]]="",tblRisks[[#This Row],[Impact Score]]=""),"",tblRisks[[#This Row],[Likelihood Score]]*tblRisks[[#This Row],[Impact Score]])</f>
        <v/>
      </c>
      <c r="Q29" s="56" t="str">
        <f>IF(tblRisks[[#This Row],[Exposure]]="","",IF(tblRisks[[#This Row],[Exposure]]&gt;=6,"High",IF(tblRisks[[#This Row],[Exposure]]&gt;=3,"Moderate","Low")))</f>
        <v/>
      </c>
      <c r="R29" s="54" t="str">
        <f>IF(tblRisks[[#This Row],[Last Reviewed]]="","",AsOf-tblRisks[[#This Row],[Last Reviewed]])</f>
        <v/>
      </c>
      <c r="S29" s="56" t="str">
        <f>IF(OR(tblRisks[[#This Row],[ID]]="",tblRisks[[#This Row],[Status]]="Closed"),"",IF(tblRisks[[#This Row],[Last Reviewed]]="","Never Reviewed",IF(AsOf-tblRisks[[#This Row],[Last Reviewed]]&gt;ReviewDays,"Review Overdue","Current")))</f>
        <v/>
      </c>
      <c r="T29" s="54"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30">
      <c r="A30" s="52" t="n"/>
      <c r="B30" s="26" t="n"/>
      <c r="C30" s="52" t="n"/>
      <c r="D30" s="52" t="n"/>
      <c r="E30" s="52" t="n"/>
      <c r="F30" s="52" t="n"/>
      <c r="G30" s="26" t="n"/>
      <c r="H30" s="26" t="n"/>
      <c r="I30" s="52" t="n"/>
      <c r="J30" s="52" t="n"/>
      <c r="K30" s="26" t="n"/>
      <c r="L30" s="53" t="n"/>
      <c r="M30" s="53" t="n"/>
      <c r="N30" s="54" t="str">
        <f>IF(tblRisks[[#This Row],[Likelihood]]="","",IFERROR(MATCH(tblRisks[[#This Row],[Likelihood]],lstLevel3,0),""))</f>
        <v/>
      </c>
      <c r="O30" s="54" t="str">
        <f>IF(tblRisks[[#This Row],[Impact]]="","",IFERROR(MATCH(tblRisks[[#This Row],[Impact]],lstLevel3,0),""))</f>
        <v/>
      </c>
      <c r="P30" s="54" t="str">
        <f>IF(OR(tblRisks[[#This Row],[Likelihood Score]]="",tblRisks[[#This Row],[Impact Score]]=""),"",tblRisks[[#This Row],[Likelihood Score]]*tblRisks[[#This Row],[Impact Score]])</f>
        <v/>
      </c>
      <c r="Q30" s="56" t="str">
        <f>IF(tblRisks[[#This Row],[Exposure]]="","",IF(tblRisks[[#This Row],[Exposure]]&gt;=6,"High",IF(tblRisks[[#This Row],[Exposure]]&gt;=3,"Moderate","Low")))</f>
        <v/>
      </c>
      <c r="R30" s="54" t="str">
        <f>IF(tblRisks[[#This Row],[Last Reviewed]]="","",AsOf-tblRisks[[#This Row],[Last Reviewed]])</f>
        <v/>
      </c>
      <c r="S30" s="56" t="str">
        <f>IF(OR(tblRisks[[#This Row],[ID]]="",tblRisks[[#This Row],[Status]]="Closed"),"",IF(tblRisks[[#This Row],[Last Reviewed]]="","Never Reviewed",IF(AsOf-tblRisks[[#This Row],[Last Reviewed]]&gt;ReviewDays,"Review Overdue","Current")))</f>
        <v/>
      </c>
      <c r="T30" s="54"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31">
      <c r="A31" s="52" t="n"/>
      <c r="B31" s="26" t="n"/>
      <c r="C31" s="52" t="n"/>
      <c r="D31" s="52" t="n"/>
      <c r="E31" s="52" t="n"/>
      <c r="F31" s="52" t="n"/>
      <c r="G31" s="26" t="n"/>
      <c r="H31" s="26" t="n"/>
      <c r="I31" s="52" t="n"/>
      <c r="J31" s="52" t="n"/>
      <c r="K31" s="26" t="n"/>
      <c r="L31" s="53" t="n"/>
      <c r="M31" s="53" t="n"/>
      <c r="N31" s="54" t="str">
        <f>IF(tblRisks[[#This Row],[Likelihood]]="","",IFERROR(MATCH(tblRisks[[#This Row],[Likelihood]],lstLevel3,0),""))</f>
        <v/>
      </c>
      <c r="O31" s="54" t="str">
        <f>IF(tblRisks[[#This Row],[Impact]]="","",IFERROR(MATCH(tblRisks[[#This Row],[Impact]],lstLevel3,0),""))</f>
        <v/>
      </c>
      <c r="P31" s="54" t="str">
        <f>IF(OR(tblRisks[[#This Row],[Likelihood Score]]="",tblRisks[[#This Row],[Impact Score]]=""),"",tblRisks[[#This Row],[Likelihood Score]]*tblRisks[[#This Row],[Impact Score]])</f>
        <v/>
      </c>
      <c r="Q31" s="56" t="str">
        <f>IF(tblRisks[[#This Row],[Exposure]]="","",IF(tblRisks[[#This Row],[Exposure]]&gt;=6,"High",IF(tblRisks[[#This Row],[Exposure]]&gt;=3,"Moderate","Low")))</f>
        <v/>
      </c>
      <c r="R31" s="54" t="str">
        <f>IF(tblRisks[[#This Row],[Last Reviewed]]="","",AsOf-tblRisks[[#This Row],[Last Reviewed]])</f>
        <v/>
      </c>
      <c r="S31" s="56" t="str">
        <f>IF(OR(tblRisks[[#This Row],[ID]]="",tblRisks[[#This Row],[Status]]="Closed"),"",IF(tblRisks[[#This Row],[Last Reviewed]]="","Never Reviewed",IF(AsOf-tblRisks[[#This Row],[Last Reviewed]]&gt;ReviewDays,"Review Overdue","Current")))</f>
        <v/>
      </c>
      <c r="T31" s="54"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32">
      <c r="A32" s="52" t="n"/>
      <c r="B32" s="26" t="n"/>
      <c r="C32" s="52" t="n"/>
      <c r="D32" s="52" t="n"/>
      <c r="E32" s="52" t="n"/>
      <c r="F32" s="52" t="n"/>
      <c r="G32" s="26" t="n"/>
      <c r="H32" s="26" t="n"/>
      <c r="I32" s="52" t="n"/>
      <c r="J32" s="52" t="n"/>
      <c r="K32" s="26" t="n"/>
      <c r="L32" s="53" t="n"/>
      <c r="M32" s="53" t="n"/>
      <c r="N32" s="54" t="str">
        <f>IF(tblRisks[[#This Row],[Likelihood]]="","",IFERROR(MATCH(tblRisks[[#This Row],[Likelihood]],lstLevel3,0),""))</f>
        <v/>
      </c>
      <c r="O32" s="54" t="str">
        <f>IF(tblRisks[[#This Row],[Impact]]="","",IFERROR(MATCH(tblRisks[[#This Row],[Impact]],lstLevel3,0),""))</f>
        <v/>
      </c>
      <c r="P32" s="54" t="str">
        <f>IF(OR(tblRisks[[#This Row],[Likelihood Score]]="",tblRisks[[#This Row],[Impact Score]]=""),"",tblRisks[[#This Row],[Likelihood Score]]*tblRisks[[#This Row],[Impact Score]])</f>
        <v/>
      </c>
      <c r="Q32" s="56" t="str">
        <f>IF(tblRisks[[#This Row],[Exposure]]="","",IF(tblRisks[[#This Row],[Exposure]]&gt;=6,"High",IF(tblRisks[[#This Row],[Exposure]]&gt;=3,"Moderate","Low")))</f>
        <v/>
      </c>
      <c r="R32" s="54" t="str">
        <f>IF(tblRisks[[#This Row],[Last Reviewed]]="","",AsOf-tblRisks[[#This Row],[Last Reviewed]])</f>
        <v/>
      </c>
      <c r="S32" s="56" t="str">
        <f>IF(OR(tblRisks[[#This Row],[ID]]="",tblRisks[[#This Row],[Status]]="Closed"),"",IF(tblRisks[[#This Row],[Last Reviewed]]="","Never Reviewed",IF(AsOf-tblRisks[[#This Row],[Last Reviewed]]&gt;ReviewDays,"Review Overdue","Current")))</f>
        <v/>
      </c>
      <c r="T32" s="54"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33">
      <c r="A33" s="52" t="n"/>
      <c r="B33" s="26" t="n"/>
      <c r="C33" s="52" t="n"/>
      <c r="D33" s="52" t="n"/>
      <c r="E33" s="52" t="n"/>
      <c r="F33" s="52" t="n"/>
      <c r="G33" s="26" t="n"/>
      <c r="H33" s="26" t="n"/>
      <c r="I33" s="52" t="n"/>
      <c r="J33" s="52" t="n"/>
      <c r="K33" s="26" t="n"/>
      <c r="L33" s="53" t="n"/>
      <c r="M33" s="53" t="n"/>
      <c r="N33" s="54" t="str">
        <f>IF(tblRisks[[#This Row],[Likelihood]]="","",IFERROR(MATCH(tblRisks[[#This Row],[Likelihood]],lstLevel3,0),""))</f>
        <v/>
      </c>
      <c r="O33" s="54" t="str">
        <f>IF(tblRisks[[#This Row],[Impact]]="","",IFERROR(MATCH(tblRisks[[#This Row],[Impact]],lstLevel3,0),""))</f>
        <v/>
      </c>
      <c r="P33" s="54" t="str">
        <f>IF(OR(tblRisks[[#This Row],[Likelihood Score]]="",tblRisks[[#This Row],[Impact Score]]=""),"",tblRisks[[#This Row],[Likelihood Score]]*tblRisks[[#This Row],[Impact Score]])</f>
        <v/>
      </c>
      <c r="Q33" s="56" t="str">
        <f>IF(tblRisks[[#This Row],[Exposure]]="","",IF(tblRisks[[#This Row],[Exposure]]&gt;=6,"High",IF(tblRisks[[#This Row],[Exposure]]&gt;=3,"Moderate","Low")))</f>
        <v/>
      </c>
      <c r="R33" s="54" t="str">
        <f>IF(tblRisks[[#This Row],[Last Reviewed]]="","",AsOf-tblRisks[[#This Row],[Last Reviewed]])</f>
        <v/>
      </c>
      <c r="S33" s="56" t="str">
        <f>IF(OR(tblRisks[[#This Row],[ID]]="",tblRisks[[#This Row],[Status]]="Closed"),"",IF(tblRisks[[#This Row],[Last Reviewed]]="","Never Reviewed",IF(AsOf-tblRisks[[#This Row],[Last Reviewed]]&gt;ReviewDays,"Review Overdue","Current")))</f>
        <v/>
      </c>
      <c r="T33" s="54"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34">
      <c r="A34" s="52" t="n"/>
      <c r="B34" s="26" t="n"/>
      <c r="C34" s="52" t="n"/>
      <c r="D34" s="52" t="n"/>
      <c r="E34" s="52" t="n"/>
      <c r="F34" s="52" t="n"/>
      <c r="G34" s="26" t="n"/>
      <c r="H34" s="26" t="n"/>
      <c r="I34" s="52" t="n"/>
      <c r="J34" s="52" t="n"/>
      <c r="K34" s="26" t="n"/>
      <c r="L34" s="53" t="n"/>
      <c r="M34" s="53" t="n"/>
      <c r="N34" s="54" t="str">
        <f>IF(tblRisks[[#This Row],[Likelihood]]="","",IFERROR(MATCH(tblRisks[[#This Row],[Likelihood]],lstLevel3,0),""))</f>
        <v/>
      </c>
      <c r="O34" s="54" t="str">
        <f>IF(tblRisks[[#This Row],[Impact]]="","",IFERROR(MATCH(tblRisks[[#This Row],[Impact]],lstLevel3,0),""))</f>
        <v/>
      </c>
      <c r="P34" s="54" t="str">
        <f>IF(OR(tblRisks[[#This Row],[Likelihood Score]]="",tblRisks[[#This Row],[Impact Score]]=""),"",tblRisks[[#This Row],[Likelihood Score]]*tblRisks[[#This Row],[Impact Score]])</f>
        <v/>
      </c>
      <c r="Q34" s="56" t="str">
        <f>IF(tblRisks[[#This Row],[Exposure]]="","",IF(tblRisks[[#This Row],[Exposure]]&gt;=6,"High",IF(tblRisks[[#This Row],[Exposure]]&gt;=3,"Moderate","Low")))</f>
        <v/>
      </c>
      <c r="R34" s="54" t="str">
        <f>IF(tblRisks[[#This Row],[Last Reviewed]]="","",AsOf-tblRisks[[#This Row],[Last Reviewed]])</f>
        <v/>
      </c>
      <c r="S34" s="56" t="str">
        <f>IF(OR(tblRisks[[#This Row],[ID]]="",tblRisks[[#This Row],[Status]]="Closed"),"",IF(tblRisks[[#This Row],[Last Reviewed]]="","Never Reviewed",IF(AsOf-tblRisks[[#This Row],[Last Reviewed]]&gt;ReviewDays,"Review Overdue","Current")))</f>
        <v/>
      </c>
      <c r="T34" s="54"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35">
      <c r="A35" s="52" t="n"/>
      <c r="B35" s="26" t="n"/>
      <c r="C35" s="52" t="n"/>
      <c r="D35" s="52" t="n"/>
      <c r="E35" s="52" t="n"/>
      <c r="F35" s="52" t="n"/>
      <c r="G35" s="26" t="n"/>
      <c r="H35" s="26" t="n"/>
      <c r="I35" s="52" t="n"/>
      <c r="J35" s="52" t="n"/>
      <c r="K35" s="26" t="n"/>
      <c r="L35" s="53" t="n"/>
      <c r="M35" s="53" t="n"/>
      <c r="N35" s="54" t="str">
        <f>IF(tblRisks[[#This Row],[Likelihood]]="","",IFERROR(MATCH(tblRisks[[#This Row],[Likelihood]],lstLevel3,0),""))</f>
        <v/>
      </c>
      <c r="O35" s="54" t="str">
        <f>IF(tblRisks[[#This Row],[Impact]]="","",IFERROR(MATCH(tblRisks[[#This Row],[Impact]],lstLevel3,0),""))</f>
        <v/>
      </c>
      <c r="P35" s="54" t="str">
        <f>IF(OR(tblRisks[[#This Row],[Likelihood Score]]="",tblRisks[[#This Row],[Impact Score]]=""),"",tblRisks[[#This Row],[Likelihood Score]]*tblRisks[[#This Row],[Impact Score]])</f>
        <v/>
      </c>
      <c r="Q35" s="56" t="str">
        <f>IF(tblRisks[[#This Row],[Exposure]]="","",IF(tblRisks[[#This Row],[Exposure]]&gt;=6,"High",IF(tblRisks[[#This Row],[Exposure]]&gt;=3,"Moderate","Low")))</f>
        <v/>
      </c>
      <c r="R35" s="54" t="str">
        <f>IF(tblRisks[[#This Row],[Last Reviewed]]="","",AsOf-tblRisks[[#This Row],[Last Reviewed]])</f>
        <v/>
      </c>
      <c r="S35" s="56" t="str">
        <f>IF(OR(tblRisks[[#This Row],[ID]]="",tblRisks[[#This Row],[Status]]="Closed"),"",IF(tblRisks[[#This Row],[Last Reviewed]]="","Never Reviewed",IF(AsOf-tblRisks[[#This Row],[Last Reviewed]]&gt;ReviewDays,"Review Overdue","Current")))</f>
        <v/>
      </c>
      <c r="T35" s="54"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sheetData>
  <conditionalFormatting sqref="Q6:Q35">
    <cfRule type="cellIs" priority="1" operator="equal" dxfId="4">
      <formula>"High"</formula>
    </cfRule>
    <cfRule type="cellIs" priority="2" operator="equal" dxfId="3">
      <formula>"Moderate"</formula>
    </cfRule>
    <cfRule type="cellIs" priority="3" operator="equal" dxfId="1">
      <formula>"Low"</formula>
    </cfRule>
  </conditionalFormatting>
  <conditionalFormatting sqref="S6:S35">
    <cfRule type="cellIs" priority="4" operator="equal" dxfId="4">
      <formula>"Review Overdue"</formula>
    </cfRule>
    <cfRule type="cellIs" priority="5" operator="equal" dxfId="4">
      <formula>"Never Reviewed"</formula>
    </cfRule>
    <cfRule type="cellIs" priority="6" operator="equal" dxfId="1">
      <formula>"Current"</formula>
    </cfRule>
  </conditionalFormatting>
  <conditionalFormatting sqref="J6:J35">
    <cfRule type="cellIs" priority="7" operator="equal" dxfId="3">
      <formula>"Escalated"</formula>
    </cfRule>
    <cfRule type="cellIs" priority="8" operator="equal" dxfId="4">
      <formula>"Realized"</formula>
    </cfRule>
    <cfRule type="cellIs" priority="9" operator="equal" dxfId="6">
      <formula>"Closed"</formula>
    </cfRule>
  </conditionalFormatting>
  <dataValidations count="9">
    <dataValidation sqref="C6:C35" showDropDown="0" showInputMessage="0" showErrorMessage="1" allowBlank="1" errorTitle="Choose from the list" error="Pick a value from the dropdown. Edit the lists on the Lists sheet." type="list" errorStyle="stop">
      <formula1>=lstRiskCat</formula1>
    </dataValidation>
    <dataValidation sqref="D6:D35" showDropDown="0" showInputMessage="0" showErrorMessage="1" allowBlank="1" errorTitle="Choose from the list" error="Pick a value from the dropdown. Edit the lists on the Lists sheet." type="list" errorStyle="stop">
      <formula1>=rngObjIDs</formula1>
    </dataValidation>
    <dataValidation sqref="E6:E35" showDropDown="0" showInputMessage="0" showErrorMessage="1" allowBlank="1" errorTitle="Choose from the list" error="Pick a value from the dropdown. Edit the lists on the Lists sheet." type="list" errorStyle="stop">
      <formula1>=lstLevel3</formula1>
    </dataValidation>
    <dataValidation sqref="F6:F35" showDropDown="0" showInputMessage="0" showErrorMessage="1" allowBlank="1" errorTitle="Choose from the list" error="Pick a value from the dropdown. Edit the lists on the Lists sheet." type="list" errorStyle="stop">
      <formula1>=lstLevel3</formula1>
    </dataValidation>
    <dataValidation sqref="I6:I35" showDropDown="0" showInputMessage="0" showErrorMessage="1" allowBlank="1" errorTitle="Name not on the People list" error="This name is not on the People list on the Lists sheet. Add it there, or continue to keep what you typed." type="list" errorStyle="warning">
      <formula1>=lstPeople</formula1>
    </dataValidation>
    <dataValidation sqref="J6:J35" showDropDown="0" showInputMessage="0" showErrorMessage="1" allowBlank="1" errorTitle="Choose from the list" error="Pick a value from the dropdown. Edit the lists on the Lists sheet." type="list" errorStyle="stop">
      <formula1>=lstRiskStatus</formula1>
    </dataValidation>
    <dataValidation sqref="K6:K35" showDropDown="0" showInputMessage="0" showErrorMessage="1" allowBlank="1" errorTitle="Choose from the list" error="Pick a value from the dropdown. Edit the lists on the Lists sheet." type="list" errorStyle="stop">
      <formula1>=lstEscLevel</formula1>
    </dataValidation>
    <dataValidation sqref="L6:L35" showDropDown="0" showInputMessage="0" showErrorMessage="1" allowBlank="1" errorTitle="Enter a date" error="Enter a valid date, for example 4/15/2027." type="date" errorStyle="stop" operator="greaterThanOrEqual">
      <formula1>36526</formula1>
    </dataValidation>
    <dataValidation sqref="M6:M35" showDropDown="0" showInputMessage="0" showErrorMessage="1" allowBlank="1" errorTitle="Enter a date" error="Enter a valid date, for example 4/15/2027." type="date" errorStyle="stop" operator="greaterThanOrEqual">
      <formula1>36526</formula1>
    </dataValidation>
  </dataValidations>
  <pageMargins left="0.5" right="0.5" top="1" bottom="1" header="0.5" footer="0.5"/>
  <pageSetup orientation="landscape" fitToHeight="0" fitToWidth="1"/>
  <headerFooter>
    <oddHeader/>
    <oddFooter>&amp;L&amp;8 Intergov Association | Strategic Plan Tracker&amp;R&amp;8 &amp;A | Page &amp;P of &amp;N</oddFooter>
    <evenHeader/>
    <evenFooter/>
    <firstHeader/>
    <firstFooter/>
  </headerFooter>
  <tableParts count="1">
    <tablePart xmlns:r="http://schemas.openxmlformats.org/officeDocument/2006/relationships" r:id="rId1"/>
  </tableParts>
</worksheet>
</file>

<file path=xl/worksheets/sheet9.xml><?xml version="1.0" encoding="utf-8"?>
<worksheet xmlns="http://schemas.openxmlformats.org/spreadsheetml/2006/main">
  <sheetPr>
    <tabColor rgb="00192E43"/>
    <outlinePr summaryBelow="1" summaryRight="1"/>
    <pageSetUpPr fitToPage="1"/>
  </sheetPr>
  <dimension ref="A1:N30"/>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9" customWidth="1" min="1" max="1"/>
    <col width="12" customWidth="1" min="2" max="2"/>
    <col width="10" customWidth="1" min="3" max="3"/>
    <col width="11" customWidth="1" min="4" max="4"/>
    <col width="44" customWidth="1" min="5" max="5"/>
    <col width="16" customWidth="1" min="6" max="6"/>
    <col width="16" customWidth="1" min="7" max="7"/>
    <col width="44" customWidth="1" min="8" max="8"/>
    <col width="12" customWidth="1" min="9" max="9"/>
    <col width="12" customWidth="1" min="10" max="10"/>
    <col width="44" customWidth="1" min="11" max="11"/>
    <col width="13" customWidth="1" min="12" max="12"/>
    <col width="9" customWidth="1" min="13" max="13"/>
    <col width="9" customWidth="1" min="14" max="14"/>
  </cols>
  <sheetData>
    <row r="1">
      <c r="A1" s="45" t="inlineStr">
        <is>
          <t>Escalation Log</t>
        </is>
      </c>
    </row>
    <row r="2">
      <c r="A2" s="2" t="inlineStr">
        <is>
          <t>Issues taken to a decision-maker, the decision requested, and whether the answer arrived in time.</t>
        </is>
      </c>
    </row>
    <row r="3">
      <c r="A3" s="18" t="inlineStr">
        <is>
          <t>Navy headers: enter data. Slate headers with gray cells: calculated, do not overwrite. Row 4 (italic) shows the expected format and is not part of the table.</t>
        </is>
      </c>
    </row>
    <row r="4" ht="64" customHeight="1">
      <c r="A4" s="40" t="inlineStr">
        <is>
          <t>ESC-01</t>
        </is>
      </c>
      <c r="B4" s="46" t="n">
        <v>46464</v>
      </c>
      <c r="C4" s="40" t="inlineStr">
        <is>
          <t>RSK-04</t>
        </is>
      </c>
      <c r="D4" s="40" t="inlineStr">
        <is>
          <t>OBJ-4</t>
        </is>
      </c>
      <c r="E4" s="40" t="inlineStr">
        <is>
          <t>Two partner governments are deadlocked on cost allocation.</t>
        </is>
      </c>
      <c r="F4" s="40" t="inlineStr">
        <is>
          <t>Executive Sponsor</t>
        </is>
      </c>
      <c r="G4" s="40" t="inlineStr">
        <is>
          <t>Name</t>
        </is>
      </c>
      <c r="H4" s="40" t="inlineStr">
        <is>
          <t>Authorize a negotiating range for our share.</t>
        </is>
      </c>
      <c r="I4" s="46" t="n">
        <v>46479</v>
      </c>
      <c r="J4" s="46" t="n">
        <v>46478</v>
      </c>
      <c r="K4" s="40" t="inlineStr">
        <is>
          <t>What was decided, by whom, with any conditions.</t>
        </is>
      </c>
      <c r="L4" s="49" t="n"/>
      <c r="M4" s="47" t="n"/>
      <c r="N4" s="47" t="n"/>
    </row>
    <row r="5" ht="34" customHeight="1">
      <c r="A5" s="50" t="inlineStr">
        <is>
          <t>ID</t>
        </is>
      </c>
      <c r="B5" s="50" t="inlineStr">
        <is>
          <t>Date Raised</t>
        </is>
      </c>
      <c r="C5" s="50" t="inlineStr">
        <is>
          <t>Risk ID</t>
        </is>
      </c>
      <c r="D5" s="50" t="inlineStr">
        <is>
          <t>Objective ID</t>
        </is>
      </c>
      <c r="E5" s="50" t="inlineStr">
        <is>
          <t>Issue</t>
        </is>
      </c>
      <c r="F5" s="50" t="inlineStr">
        <is>
          <t>Escalated To</t>
        </is>
      </c>
      <c r="G5" s="50" t="inlineStr">
        <is>
          <t>Raised By</t>
        </is>
      </c>
      <c r="H5" s="50" t="inlineStr">
        <is>
          <t>Decision or Direction Requested</t>
        </is>
      </c>
      <c r="I5" s="50" t="inlineStr">
        <is>
          <t>Response Due</t>
        </is>
      </c>
      <c r="J5" s="50" t="inlineStr">
        <is>
          <t>Date Resolved</t>
        </is>
      </c>
      <c r="K5" s="50" t="inlineStr">
        <is>
          <t>Decision Made</t>
        </is>
      </c>
      <c r="L5" s="51" t="inlineStr">
        <is>
          <t>Response Status</t>
        </is>
      </c>
      <c r="M5" s="51" t="inlineStr">
        <is>
          <t>Days Open</t>
        </is>
      </c>
      <c r="N5" s="51" t="inlineStr">
        <is>
          <t>Days Past Due</t>
        </is>
      </c>
    </row>
    <row r="6">
      <c r="A6" s="52" t="n"/>
      <c r="B6" s="53" t="n"/>
      <c r="C6" s="52" t="n"/>
      <c r="D6" s="52" t="n"/>
      <c r="E6" s="26" t="n"/>
      <c r="F6" s="26" t="n"/>
      <c r="G6" s="52" t="n"/>
      <c r="H6" s="26" t="n"/>
      <c r="I6" s="53" t="n"/>
      <c r="J6" s="53" t="n"/>
      <c r="K6" s="26" t="n"/>
      <c r="L6" s="56" t="str">
        <f>IF(tblEscalations[[#This Row],[ID]]="","",IF(tblEscalations[[#This Row],[Date Resolved]]&lt;&gt;"","Resolved",IF(AND(tblEscalations[[#This Row],[Response Due]]&lt;&gt;"",AsOf&gt;tblEscalations[[#This Row],[Response Due]]),"Past Due","Open")))</f>
        <v/>
      </c>
      <c r="M6" s="54" t="str">
        <f>IF(tblEscalations[[#This Row],[Date Raised]]="","",IF(tblEscalations[[#This Row],[Date Resolved]]&lt;&gt;"",tblEscalations[[#This Row],[Date Resolved]],AsOf)-tblEscalations[[#This Row],[Date Raised]])</f>
        <v/>
      </c>
      <c r="N6" s="54" t="str">
        <f>IF(tblEscalations[[#This Row],[Response Status]]="Past Due",AsOf-tblEscalations[[#This Row],[Response Due]],"")</f>
        <v/>
      </c>
    </row>
    <row r="7">
      <c r="A7" s="52" t="n"/>
      <c r="B7" s="53" t="n"/>
      <c r="C7" s="52" t="n"/>
      <c r="D7" s="52" t="n"/>
      <c r="E7" s="26" t="n"/>
      <c r="F7" s="26" t="n"/>
      <c r="G7" s="52" t="n"/>
      <c r="H7" s="26" t="n"/>
      <c r="I7" s="53" t="n"/>
      <c r="J7" s="53" t="n"/>
      <c r="K7" s="26" t="n"/>
      <c r="L7" s="56" t="str">
        <f>IF(tblEscalations[[#This Row],[ID]]="","",IF(tblEscalations[[#This Row],[Date Resolved]]&lt;&gt;"","Resolved",IF(AND(tblEscalations[[#This Row],[Response Due]]&lt;&gt;"",AsOf&gt;tblEscalations[[#This Row],[Response Due]]),"Past Due","Open")))</f>
        <v/>
      </c>
      <c r="M7" s="54" t="str">
        <f>IF(tblEscalations[[#This Row],[Date Raised]]="","",IF(tblEscalations[[#This Row],[Date Resolved]]&lt;&gt;"",tblEscalations[[#This Row],[Date Resolved]],AsOf)-tblEscalations[[#This Row],[Date Raised]])</f>
        <v/>
      </c>
      <c r="N7" s="54" t="str">
        <f>IF(tblEscalations[[#This Row],[Response Status]]="Past Due",AsOf-tblEscalations[[#This Row],[Response Due]],"")</f>
        <v/>
      </c>
    </row>
    <row r="8">
      <c r="A8" s="52" t="n"/>
      <c r="B8" s="53" t="n"/>
      <c r="C8" s="52" t="n"/>
      <c r="D8" s="52" t="n"/>
      <c r="E8" s="26" t="n"/>
      <c r="F8" s="26" t="n"/>
      <c r="G8" s="52" t="n"/>
      <c r="H8" s="26" t="n"/>
      <c r="I8" s="53" t="n"/>
      <c r="J8" s="53" t="n"/>
      <c r="K8" s="26" t="n"/>
      <c r="L8" s="56" t="str">
        <f>IF(tblEscalations[[#This Row],[ID]]="","",IF(tblEscalations[[#This Row],[Date Resolved]]&lt;&gt;"","Resolved",IF(AND(tblEscalations[[#This Row],[Response Due]]&lt;&gt;"",AsOf&gt;tblEscalations[[#This Row],[Response Due]]),"Past Due","Open")))</f>
        <v/>
      </c>
      <c r="M8" s="54" t="str">
        <f>IF(tblEscalations[[#This Row],[Date Raised]]="","",IF(tblEscalations[[#This Row],[Date Resolved]]&lt;&gt;"",tblEscalations[[#This Row],[Date Resolved]],AsOf)-tblEscalations[[#This Row],[Date Raised]])</f>
        <v/>
      </c>
      <c r="N8" s="54" t="str">
        <f>IF(tblEscalations[[#This Row],[Response Status]]="Past Due",AsOf-tblEscalations[[#This Row],[Response Due]],"")</f>
        <v/>
      </c>
    </row>
    <row r="9">
      <c r="A9" s="52" t="n"/>
      <c r="B9" s="53" t="n"/>
      <c r="C9" s="52" t="n"/>
      <c r="D9" s="52" t="n"/>
      <c r="E9" s="26" t="n"/>
      <c r="F9" s="26" t="n"/>
      <c r="G9" s="52" t="n"/>
      <c r="H9" s="26" t="n"/>
      <c r="I9" s="53" t="n"/>
      <c r="J9" s="53" t="n"/>
      <c r="K9" s="26" t="n"/>
      <c r="L9" s="56" t="str">
        <f>IF(tblEscalations[[#This Row],[ID]]="","",IF(tblEscalations[[#This Row],[Date Resolved]]&lt;&gt;"","Resolved",IF(AND(tblEscalations[[#This Row],[Response Due]]&lt;&gt;"",AsOf&gt;tblEscalations[[#This Row],[Response Due]]),"Past Due","Open")))</f>
        <v/>
      </c>
      <c r="M9" s="54" t="str">
        <f>IF(tblEscalations[[#This Row],[Date Raised]]="","",IF(tblEscalations[[#This Row],[Date Resolved]]&lt;&gt;"",tblEscalations[[#This Row],[Date Resolved]],AsOf)-tblEscalations[[#This Row],[Date Raised]])</f>
        <v/>
      </c>
      <c r="N9" s="54" t="str">
        <f>IF(tblEscalations[[#This Row],[Response Status]]="Past Due",AsOf-tblEscalations[[#This Row],[Response Due]],"")</f>
        <v/>
      </c>
    </row>
    <row r="10">
      <c r="A10" s="52" t="n"/>
      <c r="B10" s="53" t="n"/>
      <c r="C10" s="52" t="n"/>
      <c r="D10" s="52" t="n"/>
      <c r="E10" s="26" t="n"/>
      <c r="F10" s="26" t="n"/>
      <c r="G10" s="52" t="n"/>
      <c r="H10" s="26" t="n"/>
      <c r="I10" s="53" t="n"/>
      <c r="J10" s="53" t="n"/>
      <c r="K10" s="26" t="n"/>
      <c r="L10" s="56" t="str">
        <f>IF(tblEscalations[[#This Row],[ID]]="","",IF(tblEscalations[[#This Row],[Date Resolved]]&lt;&gt;"","Resolved",IF(AND(tblEscalations[[#This Row],[Response Due]]&lt;&gt;"",AsOf&gt;tblEscalations[[#This Row],[Response Due]]),"Past Due","Open")))</f>
        <v/>
      </c>
      <c r="M10" s="54" t="str">
        <f>IF(tblEscalations[[#This Row],[Date Raised]]="","",IF(tblEscalations[[#This Row],[Date Resolved]]&lt;&gt;"",tblEscalations[[#This Row],[Date Resolved]],AsOf)-tblEscalations[[#This Row],[Date Raised]])</f>
        <v/>
      </c>
      <c r="N10" s="54" t="str">
        <f>IF(tblEscalations[[#This Row],[Response Status]]="Past Due",AsOf-tblEscalations[[#This Row],[Response Due]],"")</f>
        <v/>
      </c>
    </row>
    <row r="11">
      <c r="A11" s="52" t="n"/>
      <c r="B11" s="53" t="n"/>
      <c r="C11" s="52" t="n"/>
      <c r="D11" s="52" t="n"/>
      <c r="E11" s="26" t="n"/>
      <c r="F11" s="26" t="n"/>
      <c r="G11" s="52" t="n"/>
      <c r="H11" s="26" t="n"/>
      <c r="I11" s="53" t="n"/>
      <c r="J11" s="53" t="n"/>
      <c r="K11" s="26" t="n"/>
      <c r="L11" s="56" t="str">
        <f>IF(tblEscalations[[#This Row],[ID]]="","",IF(tblEscalations[[#This Row],[Date Resolved]]&lt;&gt;"","Resolved",IF(AND(tblEscalations[[#This Row],[Response Due]]&lt;&gt;"",AsOf&gt;tblEscalations[[#This Row],[Response Due]]),"Past Due","Open")))</f>
        <v/>
      </c>
      <c r="M11" s="54" t="str">
        <f>IF(tblEscalations[[#This Row],[Date Raised]]="","",IF(tblEscalations[[#This Row],[Date Resolved]]&lt;&gt;"",tblEscalations[[#This Row],[Date Resolved]],AsOf)-tblEscalations[[#This Row],[Date Raised]])</f>
        <v/>
      </c>
      <c r="N11" s="54" t="str">
        <f>IF(tblEscalations[[#This Row],[Response Status]]="Past Due",AsOf-tblEscalations[[#This Row],[Response Due]],"")</f>
        <v/>
      </c>
    </row>
    <row r="12">
      <c r="A12" s="52" t="n"/>
      <c r="B12" s="53" t="n"/>
      <c r="C12" s="52" t="n"/>
      <c r="D12" s="52" t="n"/>
      <c r="E12" s="26" t="n"/>
      <c r="F12" s="26" t="n"/>
      <c r="G12" s="52" t="n"/>
      <c r="H12" s="26" t="n"/>
      <c r="I12" s="53" t="n"/>
      <c r="J12" s="53" t="n"/>
      <c r="K12" s="26" t="n"/>
      <c r="L12" s="56" t="str">
        <f>IF(tblEscalations[[#This Row],[ID]]="","",IF(tblEscalations[[#This Row],[Date Resolved]]&lt;&gt;"","Resolved",IF(AND(tblEscalations[[#This Row],[Response Due]]&lt;&gt;"",AsOf&gt;tblEscalations[[#This Row],[Response Due]]),"Past Due","Open")))</f>
        <v/>
      </c>
      <c r="M12" s="54" t="str">
        <f>IF(tblEscalations[[#This Row],[Date Raised]]="","",IF(tblEscalations[[#This Row],[Date Resolved]]&lt;&gt;"",tblEscalations[[#This Row],[Date Resolved]],AsOf)-tblEscalations[[#This Row],[Date Raised]])</f>
        <v/>
      </c>
      <c r="N12" s="54" t="str">
        <f>IF(tblEscalations[[#This Row],[Response Status]]="Past Due",AsOf-tblEscalations[[#This Row],[Response Due]],"")</f>
        <v/>
      </c>
    </row>
    <row r="13">
      <c r="A13" s="52" t="n"/>
      <c r="B13" s="53" t="n"/>
      <c r="C13" s="52" t="n"/>
      <c r="D13" s="52" t="n"/>
      <c r="E13" s="26" t="n"/>
      <c r="F13" s="26" t="n"/>
      <c r="G13" s="52" t="n"/>
      <c r="H13" s="26" t="n"/>
      <c r="I13" s="53" t="n"/>
      <c r="J13" s="53" t="n"/>
      <c r="K13" s="26" t="n"/>
      <c r="L13" s="56" t="str">
        <f>IF(tblEscalations[[#This Row],[ID]]="","",IF(tblEscalations[[#This Row],[Date Resolved]]&lt;&gt;"","Resolved",IF(AND(tblEscalations[[#This Row],[Response Due]]&lt;&gt;"",AsOf&gt;tblEscalations[[#This Row],[Response Due]]),"Past Due","Open")))</f>
        <v/>
      </c>
      <c r="M13" s="54" t="str">
        <f>IF(tblEscalations[[#This Row],[Date Raised]]="","",IF(tblEscalations[[#This Row],[Date Resolved]]&lt;&gt;"",tblEscalations[[#This Row],[Date Resolved]],AsOf)-tblEscalations[[#This Row],[Date Raised]])</f>
        <v/>
      </c>
      <c r="N13" s="54" t="str">
        <f>IF(tblEscalations[[#This Row],[Response Status]]="Past Due",AsOf-tblEscalations[[#This Row],[Response Due]],"")</f>
        <v/>
      </c>
    </row>
    <row r="14">
      <c r="A14" s="52" t="n"/>
      <c r="B14" s="53" t="n"/>
      <c r="C14" s="52" t="n"/>
      <c r="D14" s="52" t="n"/>
      <c r="E14" s="26" t="n"/>
      <c r="F14" s="26" t="n"/>
      <c r="G14" s="52" t="n"/>
      <c r="H14" s="26" t="n"/>
      <c r="I14" s="53" t="n"/>
      <c r="J14" s="53" t="n"/>
      <c r="K14" s="26" t="n"/>
      <c r="L14" s="56" t="str">
        <f>IF(tblEscalations[[#This Row],[ID]]="","",IF(tblEscalations[[#This Row],[Date Resolved]]&lt;&gt;"","Resolved",IF(AND(tblEscalations[[#This Row],[Response Due]]&lt;&gt;"",AsOf&gt;tblEscalations[[#This Row],[Response Due]]),"Past Due","Open")))</f>
        <v/>
      </c>
      <c r="M14" s="54" t="str">
        <f>IF(tblEscalations[[#This Row],[Date Raised]]="","",IF(tblEscalations[[#This Row],[Date Resolved]]&lt;&gt;"",tblEscalations[[#This Row],[Date Resolved]],AsOf)-tblEscalations[[#This Row],[Date Raised]])</f>
        <v/>
      </c>
      <c r="N14" s="54" t="str">
        <f>IF(tblEscalations[[#This Row],[Response Status]]="Past Due",AsOf-tblEscalations[[#This Row],[Response Due]],"")</f>
        <v/>
      </c>
    </row>
    <row r="15">
      <c r="A15" s="52" t="n"/>
      <c r="B15" s="53" t="n"/>
      <c r="C15" s="52" t="n"/>
      <c r="D15" s="52" t="n"/>
      <c r="E15" s="26" t="n"/>
      <c r="F15" s="26" t="n"/>
      <c r="G15" s="52" t="n"/>
      <c r="H15" s="26" t="n"/>
      <c r="I15" s="53" t="n"/>
      <c r="J15" s="53" t="n"/>
      <c r="K15" s="26" t="n"/>
      <c r="L15" s="56" t="str">
        <f>IF(tblEscalations[[#This Row],[ID]]="","",IF(tblEscalations[[#This Row],[Date Resolved]]&lt;&gt;"","Resolved",IF(AND(tblEscalations[[#This Row],[Response Due]]&lt;&gt;"",AsOf&gt;tblEscalations[[#This Row],[Response Due]]),"Past Due","Open")))</f>
        <v/>
      </c>
      <c r="M15" s="54" t="str">
        <f>IF(tblEscalations[[#This Row],[Date Raised]]="","",IF(tblEscalations[[#This Row],[Date Resolved]]&lt;&gt;"",tblEscalations[[#This Row],[Date Resolved]],AsOf)-tblEscalations[[#This Row],[Date Raised]])</f>
        <v/>
      </c>
      <c r="N15" s="54" t="str">
        <f>IF(tblEscalations[[#This Row],[Response Status]]="Past Due",AsOf-tblEscalations[[#This Row],[Response Due]],"")</f>
        <v/>
      </c>
    </row>
    <row r="16">
      <c r="A16" s="52" t="n"/>
      <c r="B16" s="53" t="n"/>
      <c r="C16" s="52" t="n"/>
      <c r="D16" s="52" t="n"/>
      <c r="E16" s="26" t="n"/>
      <c r="F16" s="26" t="n"/>
      <c r="G16" s="52" t="n"/>
      <c r="H16" s="26" t="n"/>
      <c r="I16" s="53" t="n"/>
      <c r="J16" s="53" t="n"/>
      <c r="K16" s="26" t="n"/>
      <c r="L16" s="56" t="str">
        <f>IF(tblEscalations[[#This Row],[ID]]="","",IF(tblEscalations[[#This Row],[Date Resolved]]&lt;&gt;"","Resolved",IF(AND(tblEscalations[[#This Row],[Response Due]]&lt;&gt;"",AsOf&gt;tblEscalations[[#This Row],[Response Due]]),"Past Due","Open")))</f>
        <v/>
      </c>
      <c r="M16" s="54" t="str">
        <f>IF(tblEscalations[[#This Row],[Date Raised]]="","",IF(tblEscalations[[#This Row],[Date Resolved]]&lt;&gt;"",tblEscalations[[#This Row],[Date Resolved]],AsOf)-tblEscalations[[#This Row],[Date Raised]])</f>
        <v/>
      </c>
      <c r="N16" s="54" t="str">
        <f>IF(tblEscalations[[#This Row],[Response Status]]="Past Due",AsOf-tblEscalations[[#This Row],[Response Due]],"")</f>
        <v/>
      </c>
    </row>
    <row r="17">
      <c r="A17" s="52" t="n"/>
      <c r="B17" s="53" t="n"/>
      <c r="C17" s="52" t="n"/>
      <c r="D17" s="52" t="n"/>
      <c r="E17" s="26" t="n"/>
      <c r="F17" s="26" t="n"/>
      <c r="G17" s="52" t="n"/>
      <c r="H17" s="26" t="n"/>
      <c r="I17" s="53" t="n"/>
      <c r="J17" s="53" t="n"/>
      <c r="K17" s="26" t="n"/>
      <c r="L17" s="56" t="str">
        <f>IF(tblEscalations[[#This Row],[ID]]="","",IF(tblEscalations[[#This Row],[Date Resolved]]&lt;&gt;"","Resolved",IF(AND(tblEscalations[[#This Row],[Response Due]]&lt;&gt;"",AsOf&gt;tblEscalations[[#This Row],[Response Due]]),"Past Due","Open")))</f>
        <v/>
      </c>
      <c r="M17" s="54" t="str">
        <f>IF(tblEscalations[[#This Row],[Date Raised]]="","",IF(tblEscalations[[#This Row],[Date Resolved]]&lt;&gt;"",tblEscalations[[#This Row],[Date Resolved]],AsOf)-tblEscalations[[#This Row],[Date Raised]])</f>
        <v/>
      </c>
      <c r="N17" s="54" t="str">
        <f>IF(tblEscalations[[#This Row],[Response Status]]="Past Due",AsOf-tblEscalations[[#This Row],[Response Due]],"")</f>
        <v/>
      </c>
    </row>
    <row r="18">
      <c r="A18" s="52" t="n"/>
      <c r="B18" s="53" t="n"/>
      <c r="C18" s="52" t="n"/>
      <c r="D18" s="52" t="n"/>
      <c r="E18" s="26" t="n"/>
      <c r="F18" s="26" t="n"/>
      <c r="G18" s="52" t="n"/>
      <c r="H18" s="26" t="n"/>
      <c r="I18" s="53" t="n"/>
      <c r="J18" s="53" t="n"/>
      <c r="K18" s="26" t="n"/>
      <c r="L18" s="56" t="str">
        <f>IF(tblEscalations[[#This Row],[ID]]="","",IF(tblEscalations[[#This Row],[Date Resolved]]&lt;&gt;"","Resolved",IF(AND(tblEscalations[[#This Row],[Response Due]]&lt;&gt;"",AsOf&gt;tblEscalations[[#This Row],[Response Due]]),"Past Due","Open")))</f>
        <v/>
      </c>
      <c r="M18" s="54" t="str">
        <f>IF(tblEscalations[[#This Row],[Date Raised]]="","",IF(tblEscalations[[#This Row],[Date Resolved]]&lt;&gt;"",tblEscalations[[#This Row],[Date Resolved]],AsOf)-tblEscalations[[#This Row],[Date Raised]])</f>
        <v/>
      </c>
      <c r="N18" s="54" t="str">
        <f>IF(tblEscalations[[#This Row],[Response Status]]="Past Due",AsOf-tblEscalations[[#This Row],[Response Due]],"")</f>
        <v/>
      </c>
    </row>
    <row r="19">
      <c r="A19" s="52" t="n"/>
      <c r="B19" s="53" t="n"/>
      <c r="C19" s="52" t="n"/>
      <c r="D19" s="52" t="n"/>
      <c r="E19" s="26" t="n"/>
      <c r="F19" s="26" t="n"/>
      <c r="G19" s="52" t="n"/>
      <c r="H19" s="26" t="n"/>
      <c r="I19" s="53" t="n"/>
      <c r="J19" s="53" t="n"/>
      <c r="K19" s="26" t="n"/>
      <c r="L19" s="56" t="str">
        <f>IF(tblEscalations[[#This Row],[ID]]="","",IF(tblEscalations[[#This Row],[Date Resolved]]&lt;&gt;"","Resolved",IF(AND(tblEscalations[[#This Row],[Response Due]]&lt;&gt;"",AsOf&gt;tblEscalations[[#This Row],[Response Due]]),"Past Due","Open")))</f>
        <v/>
      </c>
      <c r="M19" s="54" t="str">
        <f>IF(tblEscalations[[#This Row],[Date Raised]]="","",IF(tblEscalations[[#This Row],[Date Resolved]]&lt;&gt;"",tblEscalations[[#This Row],[Date Resolved]],AsOf)-tblEscalations[[#This Row],[Date Raised]])</f>
        <v/>
      </c>
      <c r="N19" s="54" t="str">
        <f>IF(tblEscalations[[#This Row],[Response Status]]="Past Due",AsOf-tblEscalations[[#This Row],[Response Due]],"")</f>
        <v/>
      </c>
    </row>
    <row r="20">
      <c r="A20" s="52" t="n"/>
      <c r="B20" s="53" t="n"/>
      <c r="C20" s="52" t="n"/>
      <c r="D20" s="52" t="n"/>
      <c r="E20" s="26" t="n"/>
      <c r="F20" s="26" t="n"/>
      <c r="G20" s="52" t="n"/>
      <c r="H20" s="26" t="n"/>
      <c r="I20" s="53" t="n"/>
      <c r="J20" s="53" t="n"/>
      <c r="K20" s="26" t="n"/>
      <c r="L20" s="56" t="str">
        <f>IF(tblEscalations[[#This Row],[ID]]="","",IF(tblEscalations[[#This Row],[Date Resolved]]&lt;&gt;"","Resolved",IF(AND(tblEscalations[[#This Row],[Response Due]]&lt;&gt;"",AsOf&gt;tblEscalations[[#This Row],[Response Due]]),"Past Due","Open")))</f>
        <v/>
      </c>
      <c r="M20" s="54" t="str">
        <f>IF(tblEscalations[[#This Row],[Date Raised]]="","",IF(tblEscalations[[#This Row],[Date Resolved]]&lt;&gt;"",tblEscalations[[#This Row],[Date Resolved]],AsOf)-tblEscalations[[#This Row],[Date Raised]])</f>
        <v/>
      </c>
      <c r="N20" s="54" t="str">
        <f>IF(tblEscalations[[#This Row],[Response Status]]="Past Due",AsOf-tblEscalations[[#This Row],[Response Due]],"")</f>
        <v/>
      </c>
    </row>
    <row r="21">
      <c r="A21" s="52" t="n"/>
      <c r="B21" s="53" t="n"/>
      <c r="C21" s="52" t="n"/>
      <c r="D21" s="52" t="n"/>
      <c r="E21" s="26" t="n"/>
      <c r="F21" s="26" t="n"/>
      <c r="G21" s="52" t="n"/>
      <c r="H21" s="26" t="n"/>
      <c r="I21" s="53" t="n"/>
      <c r="J21" s="53" t="n"/>
      <c r="K21" s="26" t="n"/>
      <c r="L21" s="56" t="str">
        <f>IF(tblEscalations[[#This Row],[ID]]="","",IF(tblEscalations[[#This Row],[Date Resolved]]&lt;&gt;"","Resolved",IF(AND(tblEscalations[[#This Row],[Response Due]]&lt;&gt;"",AsOf&gt;tblEscalations[[#This Row],[Response Due]]),"Past Due","Open")))</f>
        <v/>
      </c>
      <c r="M21" s="54" t="str">
        <f>IF(tblEscalations[[#This Row],[Date Raised]]="","",IF(tblEscalations[[#This Row],[Date Resolved]]&lt;&gt;"",tblEscalations[[#This Row],[Date Resolved]],AsOf)-tblEscalations[[#This Row],[Date Raised]])</f>
        <v/>
      </c>
      <c r="N21" s="54" t="str">
        <f>IF(tblEscalations[[#This Row],[Response Status]]="Past Due",AsOf-tblEscalations[[#This Row],[Response Due]],"")</f>
        <v/>
      </c>
    </row>
    <row r="22">
      <c r="A22" s="52" t="n"/>
      <c r="B22" s="53" t="n"/>
      <c r="C22" s="52" t="n"/>
      <c r="D22" s="52" t="n"/>
      <c r="E22" s="26" t="n"/>
      <c r="F22" s="26" t="n"/>
      <c r="G22" s="52" t="n"/>
      <c r="H22" s="26" t="n"/>
      <c r="I22" s="53" t="n"/>
      <c r="J22" s="53" t="n"/>
      <c r="K22" s="26" t="n"/>
      <c r="L22" s="56" t="str">
        <f>IF(tblEscalations[[#This Row],[ID]]="","",IF(tblEscalations[[#This Row],[Date Resolved]]&lt;&gt;"","Resolved",IF(AND(tblEscalations[[#This Row],[Response Due]]&lt;&gt;"",AsOf&gt;tblEscalations[[#This Row],[Response Due]]),"Past Due","Open")))</f>
        <v/>
      </c>
      <c r="M22" s="54" t="str">
        <f>IF(tblEscalations[[#This Row],[Date Raised]]="","",IF(tblEscalations[[#This Row],[Date Resolved]]&lt;&gt;"",tblEscalations[[#This Row],[Date Resolved]],AsOf)-tblEscalations[[#This Row],[Date Raised]])</f>
        <v/>
      </c>
      <c r="N22" s="54" t="str">
        <f>IF(tblEscalations[[#This Row],[Response Status]]="Past Due",AsOf-tblEscalations[[#This Row],[Response Due]],"")</f>
        <v/>
      </c>
    </row>
    <row r="23">
      <c r="A23" s="52" t="n"/>
      <c r="B23" s="53" t="n"/>
      <c r="C23" s="52" t="n"/>
      <c r="D23" s="52" t="n"/>
      <c r="E23" s="26" t="n"/>
      <c r="F23" s="26" t="n"/>
      <c r="G23" s="52" t="n"/>
      <c r="H23" s="26" t="n"/>
      <c r="I23" s="53" t="n"/>
      <c r="J23" s="53" t="n"/>
      <c r="K23" s="26" t="n"/>
      <c r="L23" s="56" t="str">
        <f>IF(tblEscalations[[#This Row],[ID]]="","",IF(tblEscalations[[#This Row],[Date Resolved]]&lt;&gt;"","Resolved",IF(AND(tblEscalations[[#This Row],[Response Due]]&lt;&gt;"",AsOf&gt;tblEscalations[[#This Row],[Response Due]]),"Past Due","Open")))</f>
        <v/>
      </c>
      <c r="M23" s="54" t="str">
        <f>IF(tblEscalations[[#This Row],[Date Raised]]="","",IF(tblEscalations[[#This Row],[Date Resolved]]&lt;&gt;"",tblEscalations[[#This Row],[Date Resolved]],AsOf)-tblEscalations[[#This Row],[Date Raised]])</f>
        <v/>
      </c>
      <c r="N23" s="54" t="str">
        <f>IF(tblEscalations[[#This Row],[Response Status]]="Past Due",AsOf-tblEscalations[[#This Row],[Response Due]],"")</f>
        <v/>
      </c>
    </row>
    <row r="24">
      <c r="A24" s="52" t="n"/>
      <c r="B24" s="53" t="n"/>
      <c r="C24" s="52" t="n"/>
      <c r="D24" s="52" t="n"/>
      <c r="E24" s="26" t="n"/>
      <c r="F24" s="26" t="n"/>
      <c r="G24" s="52" t="n"/>
      <c r="H24" s="26" t="n"/>
      <c r="I24" s="53" t="n"/>
      <c r="J24" s="53" t="n"/>
      <c r="K24" s="26" t="n"/>
      <c r="L24" s="56" t="str">
        <f>IF(tblEscalations[[#This Row],[ID]]="","",IF(tblEscalations[[#This Row],[Date Resolved]]&lt;&gt;"","Resolved",IF(AND(tblEscalations[[#This Row],[Response Due]]&lt;&gt;"",AsOf&gt;tblEscalations[[#This Row],[Response Due]]),"Past Due","Open")))</f>
        <v/>
      </c>
      <c r="M24" s="54" t="str">
        <f>IF(tblEscalations[[#This Row],[Date Raised]]="","",IF(tblEscalations[[#This Row],[Date Resolved]]&lt;&gt;"",tblEscalations[[#This Row],[Date Resolved]],AsOf)-tblEscalations[[#This Row],[Date Raised]])</f>
        <v/>
      </c>
      <c r="N24" s="54" t="str">
        <f>IF(tblEscalations[[#This Row],[Response Status]]="Past Due",AsOf-tblEscalations[[#This Row],[Response Due]],"")</f>
        <v/>
      </c>
    </row>
    <row r="25">
      <c r="A25" s="52" t="n"/>
      <c r="B25" s="53" t="n"/>
      <c r="C25" s="52" t="n"/>
      <c r="D25" s="52" t="n"/>
      <c r="E25" s="26" t="n"/>
      <c r="F25" s="26" t="n"/>
      <c r="G25" s="52" t="n"/>
      <c r="H25" s="26" t="n"/>
      <c r="I25" s="53" t="n"/>
      <c r="J25" s="53" t="n"/>
      <c r="K25" s="26" t="n"/>
      <c r="L25" s="56" t="str">
        <f>IF(tblEscalations[[#This Row],[ID]]="","",IF(tblEscalations[[#This Row],[Date Resolved]]&lt;&gt;"","Resolved",IF(AND(tblEscalations[[#This Row],[Response Due]]&lt;&gt;"",AsOf&gt;tblEscalations[[#This Row],[Response Due]]),"Past Due","Open")))</f>
        <v/>
      </c>
      <c r="M25" s="54" t="str">
        <f>IF(tblEscalations[[#This Row],[Date Raised]]="","",IF(tblEscalations[[#This Row],[Date Resolved]]&lt;&gt;"",tblEscalations[[#This Row],[Date Resolved]],AsOf)-tblEscalations[[#This Row],[Date Raised]])</f>
        <v/>
      </c>
      <c r="N25" s="54" t="str">
        <f>IF(tblEscalations[[#This Row],[Response Status]]="Past Due",AsOf-tblEscalations[[#This Row],[Response Due]],"")</f>
        <v/>
      </c>
    </row>
    <row r="26">
      <c r="A26" s="52" t="n"/>
      <c r="B26" s="53" t="n"/>
      <c r="C26" s="52" t="n"/>
      <c r="D26" s="52" t="n"/>
      <c r="E26" s="26" t="n"/>
      <c r="F26" s="26" t="n"/>
      <c r="G26" s="52" t="n"/>
      <c r="H26" s="26" t="n"/>
      <c r="I26" s="53" t="n"/>
      <c r="J26" s="53" t="n"/>
      <c r="K26" s="26" t="n"/>
      <c r="L26" s="56" t="str">
        <f>IF(tblEscalations[[#This Row],[ID]]="","",IF(tblEscalations[[#This Row],[Date Resolved]]&lt;&gt;"","Resolved",IF(AND(tblEscalations[[#This Row],[Response Due]]&lt;&gt;"",AsOf&gt;tblEscalations[[#This Row],[Response Due]]),"Past Due","Open")))</f>
        <v/>
      </c>
      <c r="M26" s="54" t="str">
        <f>IF(tblEscalations[[#This Row],[Date Raised]]="","",IF(tblEscalations[[#This Row],[Date Resolved]]&lt;&gt;"",tblEscalations[[#This Row],[Date Resolved]],AsOf)-tblEscalations[[#This Row],[Date Raised]])</f>
        <v/>
      </c>
      <c r="N26" s="54" t="str">
        <f>IF(tblEscalations[[#This Row],[Response Status]]="Past Due",AsOf-tblEscalations[[#This Row],[Response Due]],"")</f>
        <v/>
      </c>
    </row>
    <row r="27">
      <c r="A27" s="52" t="n"/>
      <c r="B27" s="53" t="n"/>
      <c r="C27" s="52" t="n"/>
      <c r="D27" s="52" t="n"/>
      <c r="E27" s="26" t="n"/>
      <c r="F27" s="26" t="n"/>
      <c r="G27" s="52" t="n"/>
      <c r="H27" s="26" t="n"/>
      <c r="I27" s="53" t="n"/>
      <c r="J27" s="53" t="n"/>
      <c r="K27" s="26" t="n"/>
      <c r="L27" s="56" t="str">
        <f>IF(tblEscalations[[#This Row],[ID]]="","",IF(tblEscalations[[#This Row],[Date Resolved]]&lt;&gt;"","Resolved",IF(AND(tblEscalations[[#This Row],[Response Due]]&lt;&gt;"",AsOf&gt;tblEscalations[[#This Row],[Response Due]]),"Past Due","Open")))</f>
        <v/>
      </c>
      <c r="M27" s="54" t="str">
        <f>IF(tblEscalations[[#This Row],[Date Raised]]="","",IF(tblEscalations[[#This Row],[Date Resolved]]&lt;&gt;"",tblEscalations[[#This Row],[Date Resolved]],AsOf)-tblEscalations[[#This Row],[Date Raised]])</f>
        <v/>
      </c>
      <c r="N27" s="54" t="str">
        <f>IF(tblEscalations[[#This Row],[Response Status]]="Past Due",AsOf-tblEscalations[[#This Row],[Response Due]],"")</f>
        <v/>
      </c>
    </row>
    <row r="28">
      <c r="A28" s="52" t="n"/>
      <c r="B28" s="53" t="n"/>
      <c r="C28" s="52" t="n"/>
      <c r="D28" s="52" t="n"/>
      <c r="E28" s="26" t="n"/>
      <c r="F28" s="26" t="n"/>
      <c r="G28" s="52" t="n"/>
      <c r="H28" s="26" t="n"/>
      <c r="I28" s="53" t="n"/>
      <c r="J28" s="53" t="n"/>
      <c r="K28" s="26" t="n"/>
      <c r="L28" s="56" t="str">
        <f>IF(tblEscalations[[#This Row],[ID]]="","",IF(tblEscalations[[#This Row],[Date Resolved]]&lt;&gt;"","Resolved",IF(AND(tblEscalations[[#This Row],[Response Due]]&lt;&gt;"",AsOf&gt;tblEscalations[[#This Row],[Response Due]]),"Past Due","Open")))</f>
        <v/>
      </c>
      <c r="M28" s="54" t="str">
        <f>IF(tblEscalations[[#This Row],[Date Raised]]="","",IF(tblEscalations[[#This Row],[Date Resolved]]&lt;&gt;"",tblEscalations[[#This Row],[Date Resolved]],AsOf)-tblEscalations[[#This Row],[Date Raised]])</f>
        <v/>
      </c>
      <c r="N28" s="54" t="str">
        <f>IF(tblEscalations[[#This Row],[Response Status]]="Past Due",AsOf-tblEscalations[[#This Row],[Response Due]],"")</f>
        <v/>
      </c>
    </row>
    <row r="29">
      <c r="A29" s="52" t="n"/>
      <c r="B29" s="53" t="n"/>
      <c r="C29" s="52" t="n"/>
      <c r="D29" s="52" t="n"/>
      <c r="E29" s="26" t="n"/>
      <c r="F29" s="26" t="n"/>
      <c r="G29" s="52" t="n"/>
      <c r="H29" s="26" t="n"/>
      <c r="I29" s="53" t="n"/>
      <c r="J29" s="53" t="n"/>
      <c r="K29" s="26" t="n"/>
      <c r="L29" s="56" t="str">
        <f>IF(tblEscalations[[#This Row],[ID]]="","",IF(tblEscalations[[#This Row],[Date Resolved]]&lt;&gt;"","Resolved",IF(AND(tblEscalations[[#This Row],[Response Due]]&lt;&gt;"",AsOf&gt;tblEscalations[[#This Row],[Response Due]]),"Past Due","Open")))</f>
        <v/>
      </c>
      <c r="M29" s="54" t="str">
        <f>IF(tblEscalations[[#This Row],[Date Raised]]="","",IF(tblEscalations[[#This Row],[Date Resolved]]&lt;&gt;"",tblEscalations[[#This Row],[Date Resolved]],AsOf)-tblEscalations[[#This Row],[Date Raised]])</f>
        <v/>
      </c>
      <c r="N29" s="54" t="str">
        <f>IF(tblEscalations[[#This Row],[Response Status]]="Past Due",AsOf-tblEscalations[[#This Row],[Response Due]],"")</f>
        <v/>
      </c>
    </row>
    <row r="30">
      <c r="A30" s="52" t="n"/>
      <c r="B30" s="53" t="n"/>
      <c r="C30" s="52" t="n"/>
      <c r="D30" s="52" t="n"/>
      <c r="E30" s="26" t="n"/>
      <c r="F30" s="26" t="n"/>
      <c r="G30" s="52" t="n"/>
      <c r="H30" s="26" t="n"/>
      <c r="I30" s="53" t="n"/>
      <c r="J30" s="53" t="n"/>
      <c r="K30" s="26" t="n"/>
      <c r="L30" s="56" t="str">
        <f>IF(tblEscalations[[#This Row],[ID]]="","",IF(tblEscalations[[#This Row],[Date Resolved]]&lt;&gt;"","Resolved",IF(AND(tblEscalations[[#This Row],[Response Due]]&lt;&gt;"",AsOf&gt;tblEscalations[[#This Row],[Response Due]]),"Past Due","Open")))</f>
        <v/>
      </c>
      <c r="M30" s="54" t="str">
        <f>IF(tblEscalations[[#This Row],[Date Raised]]="","",IF(tblEscalations[[#This Row],[Date Resolved]]&lt;&gt;"",tblEscalations[[#This Row],[Date Resolved]],AsOf)-tblEscalations[[#This Row],[Date Raised]])</f>
        <v/>
      </c>
      <c r="N30" s="54" t="str">
        <f>IF(tblEscalations[[#This Row],[Response Status]]="Past Due",AsOf-tblEscalations[[#This Row],[Response Due]],"")</f>
        <v/>
      </c>
    </row>
  </sheetData>
  <conditionalFormatting sqref="L6:L30">
    <cfRule type="cellIs" priority="1" operator="equal" dxfId="4">
      <formula>"Past Due"</formula>
    </cfRule>
    <cfRule type="cellIs" priority="2" operator="equal" dxfId="3">
      <formula>"Open"</formula>
    </cfRule>
    <cfRule type="cellIs" priority="3" operator="equal" dxfId="1">
      <formula>"Resolved"</formula>
    </cfRule>
  </conditionalFormatting>
  <dataValidations count="7">
    <dataValidation sqref="B6:B30" showDropDown="0" showInputMessage="0" showErrorMessage="1" allowBlank="1" errorTitle="Enter a date" error="Enter a valid date, for example 4/15/2027." type="date" errorStyle="stop" operator="greaterThanOrEqual">
      <formula1>36526</formula1>
    </dataValidation>
    <dataValidation sqref="C6:C30" showDropDown="0" showInputMessage="0" showErrorMessage="1" allowBlank="1" errorTitle="Choose from the list" error="Pick a value from the dropdown. Edit the lists on the Lists sheet." type="list" errorStyle="stop">
      <formula1>=rngRiskIDs</formula1>
    </dataValidation>
    <dataValidation sqref="D6:D30" showDropDown="0" showInputMessage="0" showErrorMessage="1" allowBlank="1" errorTitle="Choose from the list" error="Pick a value from the dropdown. Edit the lists on the Lists sheet." type="list" errorStyle="stop">
      <formula1>=rngObjIDs</formula1>
    </dataValidation>
    <dataValidation sqref="F6:F30" showDropDown="0" showInputMessage="0" showErrorMessage="1" allowBlank="1" errorTitle="Choose from the list" error="Pick a value from the dropdown. Edit the lists on the Lists sheet." type="list" errorStyle="stop">
      <formula1>=lstEscTo</formula1>
    </dataValidation>
    <dataValidation sqref="G6:G30" showDropDown="0" showInputMessage="0" showErrorMessage="1" allowBlank="1" errorTitle="Name not on the People list" error="This name is not on the People list on the Lists sheet. Add it there, or continue to keep what you typed." type="list" errorStyle="warning">
      <formula1>=lstPeople</formula1>
    </dataValidation>
    <dataValidation sqref="I6:I30" showDropDown="0" showInputMessage="0" showErrorMessage="1" allowBlank="1" errorTitle="Enter a date" error="Enter a valid date, for example 4/15/2027." type="date" errorStyle="stop" operator="greaterThanOrEqual">
      <formula1>36526</formula1>
    </dataValidation>
    <dataValidation sqref="J6:J30" showDropDown="0" showInputMessage="0" showErrorMessage="1" allowBlank="1" errorTitle="Enter a date" error="Enter a valid date, for example 4/15/2027." type="date" errorStyle="stop" operator="greaterThanOrEqual">
      <formula1>36526</formula1>
    </dataValidation>
  </dataValidations>
  <pageMargins left="0.5" right="0.5" top="1" bottom="1" header="0.5" footer="0.5"/>
  <pageSetup orientation="landscape" fitToHeight="0" fitToWidth="1"/>
  <headerFooter>
    <oddHeader/>
    <oddFooter>&amp;L&amp;8 Intergov Association | Strategic Plan Tracker&amp;R&amp;8 &amp;A | Page &amp;P of &amp;N</oddFooter>
    <evenHeader/>
    <evenFooter/>
    <firstHeader/>
    <firstFooter/>
  </headerFooter>
  <tableParts count="1">
    <tablePart xmlns:r="http://schemas.openxmlformats.org/officeDocument/2006/relationships" r:id="rId1"/>
  </tableParts>
</worksheet>
</file>

<file path=xl/worksheets/sheet10.xml><?xml version="1.0" encoding="utf-8"?>
<worksheet xmlns="http://schemas.openxmlformats.org/spreadsheetml/2006/main">
  <sheetPr>
    <tabColor rgb="00192E43"/>
    <outlinePr summaryBelow="1" summaryRight="1"/>
    <pageSetUpPr fitToPage="1"/>
  </sheetPr>
  <dimension ref="A1:M45"/>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9" customWidth="1" min="1" max="1"/>
    <col width="11" customWidth="1" min="2" max="2"/>
    <col width="34" customWidth="1" min="3" max="3"/>
    <col width="12" customWidth="1" min="4" max="4"/>
    <col width="12" customWidth="1" min="5" max="5"/>
    <col width="50" customWidth="1" min="6" max="6"/>
    <col width="44" customWidth="1" min="7" max="7"/>
    <col width="44" customWidth="1" min="8" max="8"/>
    <col width="36" customWidth="1" min="9" max="9"/>
    <col width="22" customWidth="1" min="10" max="10"/>
    <col width="12" customWidth="1" min="11" max="11"/>
    <col width="12" customWidth="1" min="12" max="12"/>
    <col width="12" customWidth="1" min="13" max="13"/>
  </cols>
  <sheetData>
    <row r="1">
      <c r="A1" s="45" t="inlineStr">
        <is>
          <t>Quarterly Performance Review</t>
        </is>
      </c>
    </row>
    <row r="2">
      <c r="A2" s="2" t="inlineStr">
        <is>
          <t>One row per objective per quarter. Record the status, the evidence, the variance, and what you changed.</t>
        </is>
      </c>
    </row>
    <row r="3">
      <c r="A3" s="18" t="inlineStr">
        <is>
          <t>Navy headers: enter data. Slate headers with gray cells: calculated, do not overwrite. Row 4 (italic) shows the expected format and is not part of the table.</t>
        </is>
      </c>
    </row>
    <row r="4" ht="64" customHeight="1">
      <c r="A4" s="40" t="inlineStr">
        <is>
          <t>Q1</t>
        </is>
      </c>
      <c r="B4" s="40" t="inlineStr">
        <is>
          <t>OBJ-3</t>
        </is>
      </c>
      <c r="C4" s="49" t="n"/>
      <c r="D4" s="46" t="n">
        <v>46483</v>
      </c>
      <c r="E4" s="40" t="inlineStr">
        <is>
          <t>At Risk</t>
        </is>
      </c>
      <c r="F4" s="40" t="inlineStr">
        <is>
          <t>Events, decisions, and documents that support the status.</t>
        </is>
      </c>
      <c r="G4" s="40" t="inlineStr">
        <is>
          <t>Where actual differs from plan, and why.</t>
        </is>
      </c>
      <c r="H4" s="40" t="inlineStr">
        <is>
          <t>What changed in the plan as a result.</t>
        </is>
      </c>
      <c r="I4" s="40" t="inlineStr">
        <is>
          <t>A decision with a date, or None.</t>
        </is>
      </c>
      <c r="J4" s="40" t="inlineStr">
        <is>
          <t>Names of attendees</t>
        </is>
      </c>
      <c r="K4" s="49" t="n"/>
      <c r="L4" s="49" t="n"/>
      <c r="M4" s="49" t="n"/>
    </row>
    <row r="5" ht="34" customHeight="1">
      <c r="A5" s="50" t="inlineStr">
        <is>
          <t>Quarter</t>
        </is>
      </c>
      <c r="B5" s="50" t="inlineStr">
        <is>
          <t>Objective ID</t>
        </is>
      </c>
      <c r="C5" s="51" t="inlineStr">
        <is>
          <t>Objective</t>
        </is>
      </c>
      <c r="D5" s="50" t="inlineStr">
        <is>
          <t>Review Date</t>
        </is>
      </c>
      <c r="E5" s="50" t="inlineStr">
        <is>
          <t>Status</t>
        </is>
      </c>
      <c r="F5" s="50" t="inlineStr">
        <is>
          <t>Evidence of Progress</t>
        </is>
      </c>
      <c r="G5" s="50" t="inlineStr">
        <is>
          <t>Variance and Cause</t>
        </is>
      </c>
      <c r="H5" s="50" t="inlineStr">
        <is>
          <t>Adjustment Made</t>
        </is>
      </c>
      <c r="I5" s="50" t="inlineStr">
        <is>
          <t>Leadership Decision Needed</t>
        </is>
      </c>
      <c r="J5" s="50" t="inlineStr">
        <is>
          <t>Reviewed By</t>
        </is>
      </c>
      <c r="K5" s="51" t="inlineStr">
        <is>
          <t>Key</t>
        </is>
      </c>
      <c r="L5" s="51" t="inlineStr">
        <is>
          <t>Prior Status</t>
        </is>
      </c>
      <c r="M5" s="51" t="inlineStr">
        <is>
          <t>Movement</t>
        </is>
      </c>
    </row>
    <row r="6">
      <c r="A6" s="60" t="n"/>
      <c r="B6" s="52" t="n"/>
      <c r="C6" s="56" t="str">
        <f>IF(tblQuarterly[[#This Row],[Objective ID]]="","",IFERROR(INDEX(tblObjectives[Objective],MATCH(tblQuarterly[[#This Row],[Objective ID]],tblObjectives[ID],0)),""))</f>
        <v/>
      </c>
      <c r="D6" s="53" t="n"/>
      <c r="E6" s="52" t="n"/>
      <c r="F6" s="26" t="n"/>
      <c r="G6" s="26" t="n"/>
      <c r="H6" s="26" t="n"/>
      <c r="I6" s="26" t="n"/>
      <c r="J6" s="26" t="n"/>
      <c r="K6" s="56" t="str">
        <f>IF(OR(tblQuarterly[[#This Row],[Quarter]]="",tblQuarterly[[#This Row],[Objective ID]]=""),"",tblQuarterly[[#This Row],[Quarter]]&amp;"|"&amp;tblQuarterly[[#This Row],[Objective ID]])</f>
        <v/>
      </c>
      <c r="L6" s="56" t="str">
        <f>IF(tblQuarterly[[#This Row],[Key]]="","",IFERROR(INDEX(tblQuarterly[Status],MATCH("Q"&amp;(VALUE(MID(tblQuarterly[[#This Row],[Quarter]],2,1))-1)&amp;"|"&amp;tblQuarterly[[#This Row],[Objective ID]],tblQuarterly[Key],0)),""))</f>
        <v/>
      </c>
      <c r="M6"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7">
      <c r="A7" s="60" t="n"/>
      <c r="B7" s="52" t="n"/>
      <c r="C7" s="56" t="str">
        <f>IF(tblQuarterly[[#This Row],[Objective ID]]="","",IFERROR(INDEX(tblObjectives[Objective],MATCH(tblQuarterly[[#This Row],[Objective ID]],tblObjectives[ID],0)),""))</f>
        <v/>
      </c>
      <c r="D7" s="53" t="n"/>
      <c r="E7" s="52" t="n"/>
      <c r="F7" s="26" t="n"/>
      <c r="G7" s="26" t="n"/>
      <c r="H7" s="26" t="n"/>
      <c r="I7" s="26" t="n"/>
      <c r="J7" s="26" t="n"/>
      <c r="K7" s="56" t="str">
        <f>IF(OR(tblQuarterly[[#This Row],[Quarter]]="",tblQuarterly[[#This Row],[Objective ID]]=""),"",tblQuarterly[[#This Row],[Quarter]]&amp;"|"&amp;tblQuarterly[[#This Row],[Objective ID]])</f>
        <v/>
      </c>
      <c r="L7" s="56" t="str">
        <f>IF(tblQuarterly[[#This Row],[Key]]="","",IFERROR(INDEX(tblQuarterly[Status],MATCH("Q"&amp;(VALUE(MID(tblQuarterly[[#This Row],[Quarter]],2,1))-1)&amp;"|"&amp;tblQuarterly[[#This Row],[Objective ID]],tblQuarterly[Key],0)),""))</f>
        <v/>
      </c>
      <c r="M7"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8">
      <c r="A8" s="60" t="n"/>
      <c r="B8" s="52" t="n"/>
      <c r="C8" s="56" t="str">
        <f>IF(tblQuarterly[[#This Row],[Objective ID]]="","",IFERROR(INDEX(tblObjectives[Objective],MATCH(tblQuarterly[[#This Row],[Objective ID]],tblObjectives[ID],0)),""))</f>
        <v/>
      </c>
      <c r="D8" s="53" t="n"/>
      <c r="E8" s="52" t="n"/>
      <c r="F8" s="26" t="n"/>
      <c r="G8" s="26" t="n"/>
      <c r="H8" s="26" t="n"/>
      <c r="I8" s="26" t="n"/>
      <c r="J8" s="26" t="n"/>
      <c r="K8" s="56" t="str">
        <f>IF(OR(tblQuarterly[[#This Row],[Quarter]]="",tblQuarterly[[#This Row],[Objective ID]]=""),"",tblQuarterly[[#This Row],[Quarter]]&amp;"|"&amp;tblQuarterly[[#This Row],[Objective ID]])</f>
        <v/>
      </c>
      <c r="L8" s="56" t="str">
        <f>IF(tblQuarterly[[#This Row],[Key]]="","",IFERROR(INDEX(tblQuarterly[Status],MATCH("Q"&amp;(VALUE(MID(tblQuarterly[[#This Row],[Quarter]],2,1))-1)&amp;"|"&amp;tblQuarterly[[#This Row],[Objective ID]],tblQuarterly[Key],0)),""))</f>
        <v/>
      </c>
      <c r="M8"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9">
      <c r="A9" s="60" t="n"/>
      <c r="B9" s="52" t="n"/>
      <c r="C9" s="56" t="str">
        <f>IF(tblQuarterly[[#This Row],[Objective ID]]="","",IFERROR(INDEX(tblObjectives[Objective],MATCH(tblQuarterly[[#This Row],[Objective ID]],tblObjectives[ID],0)),""))</f>
        <v/>
      </c>
      <c r="D9" s="53" t="n"/>
      <c r="E9" s="52" t="n"/>
      <c r="F9" s="26" t="n"/>
      <c r="G9" s="26" t="n"/>
      <c r="H9" s="26" t="n"/>
      <c r="I9" s="26" t="n"/>
      <c r="J9" s="26" t="n"/>
      <c r="K9" s="56" t="str">
        <f>IF(OR(tblQuarterly[[#This Row],[Quarter]]="",tblQuarterly[[#This Row],[Objective ID]]=""),"",tblQuarterly[[#This Row],[Quarter]]&amp;"|"&amp;tblQuarterly[[#This Row],[Objective ID]])</f>
        <v/>
      </c>
      <c r="L9" s="56" t="str">
        <f>IF(tblQuarterly[[#This Row],[Key]]="","",IFERROR(INDEX(tblQuarterly[Status],MATCH("Q"&amp;(VALUE(MID(tblQuarterly[[#This Row],[Quarter]],2,1))-1)&amp;"|"&amp;tblQuarterly[[#This Row],[Objective ID]],tblQuarterly[Key],0)),""))</f>
        <v/>
      </c>
      <c r="M9"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10">
      <c r="A10" s="60" t="n"/>
      <c r="B10" s="52" t="n"/>
      <c r="C10" s="56" t="str">
        <f>IF(tblQuarterly[[#This Row],[Objective ID]]="","",IFERROR(INDEX(tblObjectives[Objective],MATCH(tblQuarterly[[#This Row],[Objective ID]],tblObjectives[ID],0)),""))</f>
        <v/>
      </c>
      <c r="D10" s="53" t="n"/>
      <c r="E10" s="52" t="n"/>
      <c r="F10" s="26" t="n"/>
      <c r="G10" s="26" t="n"/>
      <c r="H10" s="26" t="n"/>
      <c r="I10" s="26" t="n"/>
      <c r="J10" s="26" t="n"/>
      <c r="K10" s="56" t="str">
        <f>IF(OR(tblQuarterly[[#This Row],[Quarter]]="",tblQuarterly[[#This Row],[Objective ID]]=""),"",tblQuarterly[[#This Row],[Quarter]]&amp;"|"&amp;tblQuarterly[[#This Row],[Objective ID]])</f>
        <v/>
      </c>
      <c r="L10" s="56" t="str">
        <f>IF(tblQuarterly[[#This Row],[Key]]="","",IFERROR(INDEX(tblQuarterly[Status],MATCH("Q"&amp;(VALUE(MID(tblQuarterly[[#This Row],[Quarter]],2,1))-1)&amp;"|"&amp;tblQuarterly[[#This Row],[Objective ID]],tblQuarterly[Key],0)),""))</f>
        <v/>
      </c>
      <c r="M10"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11">
      <c r="A11" s="60" t="n"/>
      <c r="B11" s="52" t="n"/>
      <c r="C11" s="56" t="str">
        <f>IF(tblQuarterly[[#This Row],[Objective ID]]="","",IFERROR(INDEX(tblObjectives[Objective],MATCH(tblQuarterly[[#This Row],[Objective ID]],tblObjectives[ID],0)),""))</f>
        <v/>
      </c>
      <c r="D11" s="53" t="n"/>
      <c r="E11" s="52" t="n"/>
      <c r="F11" s="26" t="n"/>
      <c r="G11" s="26" t="n"/>
      <c r="H11" s="26" t="n"/>
      <c r="I11" s="26" t="n"/>
      <c r="J11" s="26" t="n"/>
      <c r="K11" s="56" t="str">
        <f>IF(OR(tblQuarterly[[#This Row],[Quarter]]="",tblQuarterly[[#This Row],[Objective ID]]=""),"",tblQuarterly[[#This Row],[Quarter]]&amp;"|"&amp;tblQuarterly[[#This Row],[Objective ID]])</f>
        <v/>
      </c>
      <c r="L11" s="56" t="str">
        <f>IF(tblQuarterly[[#This Row],[Key]]="","",IFERROR(INDEX(tblQuarterly[Status],MATCH("Q"&amp;(VALUE(MID(tblQuarterly[[#This Row],[Quarter]],2,1))-1)&amp;"|"&amp;tblQuarterly[[#This Row],[Objective ID]],tblQuarterly[Key],0)),""))</f>
        <v/>
      </c>
      <c r="M11"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12">
      <c r="A12" s="60" t="n"/>
      <c r="B12" s="52" t="n"/>
      <c r="C12" s="56" t="str">
        <f>IF(tblQuarterly[[#This Row],[Objective ID]]="","",IFERROR(INDEX(tblObjectives[Objective],MATCH(tblQuarterly[[#This Row],[Objective ID]],tblObjectives[ID],0)),""))</f>
        <v/>
      </c>
      <c r="D12" s="53" t="n"/>
      <c r="E12" s="52" t="n"/>
      <c r="F12" s="26" t="n"/>
      <c r="G12" s="26" t="n"/>
      <c r="H12" s="26" t="n"/>
      <c r="I12" s="26" t="n"/>
      <c r="J12" s="26" t="n"/>
      <c r="K12" s="56" t="str">
        <f>IF(OR(tblQuarterly[[#This Row],[Quarter]]="",tblQuarterly[[#This Row],[Objective ID]]=""),"",tblQuarterly[[#This Row],[Quarter]]&amp;"|"&amp;tblQuarterly[[#This Row],[Objective ID]])</f>
        <v/>
      </c>
      <c r="L12" s="56" t="str">
        <f>IF(tblQuarterly[[#This Row],[Key]]="","",IFERROR(INDEX(tblQuarterly[Status],MATCH("Q"&amp;(VALUE(MID(tblQuarterly[[#This Row],[Quarter]],2,1))-1)&amp;"|"&amp;tblQuarterly[[#This Row],[Objective ID]],tblQuarterly[Key],0)),""))</f>
        <v/>
      </c>
      <c r="M12"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13">
      <c r="A13" s="60" t="n"/>
      <c r="B13" s="52" t="n"/>
      <c r="C13" s="56" t="str">
        <f>IF(tblQuarterly[[#This Row],[Objective ID]]="","",IFERROR(INDEX(tblObjectives[Objective],MATCH(tblQuarterly[[#This Row],[Objective ID]],tblObjectives[ID],0)),""))</f>
        <v/>
      </c>
      <c r="D13" s="53" t="n"/>
      <c r="E13" s="52" t="n"/>
      <c r="F13" s="26" t="n"/>
      <c r="G13" s="26" t="n"/>
      <c r="H13" s="26" t="n"/>
      <c r="I13" s="26" t="n"/>
      <c r="J13" s="26" t="n"/>
      <c r="K13" s="56" t="str">
        <f>IF(OR(tblQuarterly[[#This Row],[Quarter]]="",tblQuarterly[[#This Row],[Objective ID]]=""),"",tblQuarterly[[#This Row],[Quarter]]&amp;"|"&amp;tblQuarterly[[#This Row],[Objective ID]])</f>
        <v/>
      </c>
      <c r="L13" s="56" t="str">
        <f>IF(tblQuarterly[[#This Row],[Key]]="","",IFERROR(INDEX(tblQuarterly[Status],MATCH("Q"&amp;(VALUE(MID(tblQuarterly[[#This Row],[Quarter]],2,1))-1)&amp;"|"&amp;tblQuarterly[[#This Row],[Objective ID]],tblQuarterly[Key],0)),""))</f>
        <v/>
      </c>
      <c r="M13"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14">
      <c r="A14" s="60" t="n"/>
      <c r="B14" s="52" t="n"/>
      <c r="C14" s="56" t="str">
        <f>IF(tblQuarterly[[#This Row],[Objective ID]]="","",IFERROR(INDEX(tblObjectives[Objective],MATCH(tblQuarterly[[#This Row],[Objective ID]],tblObjectives[ID],0)),""))</f>
        <v/>
      </c>
      <c r="D14" s="53" t="n"/>
      <c r="E14" s="52" t="n"/>
      <c r="F14" s="26" t="n"/>
      <c r="G14" s="26" t="n"/>
      <c r="H14" s="26" t="n"/>
      <c r="I14" s="26" t="n"/>
      <c r="J14" s="26" t="n"/>
      <c r="K14" s="56" t="str">
        <f>IF(OR(tblQuarterly[[#This Row],[Quarter]]="",tblQuarterly[[#This Row],[Objective ID]]=""),"",tblQuarterly[[#This Row],[Quarter]]&amp;"|"&amp;tblQuarterly[[#This Row],[Objective ID]])</f>
        <v/>
      </c>
      <c r="L14" s="56" t="str">
        <f>IF(tblQuarterly[[#This Row],[Key]]="","",IFERROR(INDEX(tblQuarterly[Status],MATCH("Q"&amp;(VALUE(MID(tblQuarterly[[#This Row],[Quarter]],2,1))-1)&amp;"|"&amp;tblQuarterly[[#This Row],[Objective ID]],tblQuarterly[Key],0)),""))</f>
        <v/>
      </c>
      <c r="M14"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15">
      <c r="A15" s="60" t="n"/>
      <c r="B15" s="52" t="n"/>
      <c r="C15" s="56" t="str">
        <f>IF(tblQuarterly[[#This Row],[Objective ID]]="","",IFERROR(INDEX(tblObjectives[Objective],MATCH(tblQuarterly[[#This Row],[Objective ID]],tblObjectives[ID],0)),""))</f>
        <v/>
      </c>
      <c r="D15" s="53" t="n"/>
      <c r="E15" s="52" t="n"/>
      <c r="F15" s="26" t="n"/>
      <c r="G15" s="26" t="n"/>
      <c r="H15" s="26" t="n"/>
      <c r="I15" s="26" t="n"/>
      <c r="J15" s="26" t="n"/>
      <c r="K15" s="56" t="str">
        <f>IF(OR(tblQuarterly[[#This Row],[Quarter]]="",tblQuarterly[[#This Row],[Objective ID]]=""),"",tblQuarterly[[#This Row],[Quarter]]&amp;"|"&amp;tblQuarterly[[#This Row],[Objective ID]])</f>
        <v/>
      </c>
      <c r="L15" s="56" t="str">
        <f>IF(tblQuarterly[[#This Row],[Key]]="","",IFERROR(INDEX(tblQuarterly[Status],MATCH("Q"&amp;(VALUE(MID(tblQuarterly[[#This Row],[Quarter]],2,1))-1)&amp;"|"&amp;tblQuarterly[[#This Row],[Objective ID]],tblQuarterly[Key],0)),""))</f>
        <v/>
      </c>
      <c r="M15"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16">
      <c r="A16" s="60" t="n"/>
      <c r="B16" s="52" t="n"/>
      <c r="C16" s="56" t="str">
        <f>IF(tblQuarterly[[#This Row],[Objective ID]]="","",IFERROR(INDEX(tblObjectives[Objective],MATCH(tblQuarterly[[#This Row],[Objective ID]],tblObjectives[ID],0)),""))</f>
        <v/>
      </c>
      <c r="D16" s="53" t="n"/>
      <c r="E16" s="52" t="n"/>
      <c r="F16" s="26" t="n"/>
      <c r="G16" s="26" t="n"/>
      <c r="H16" s="26" t="n"/>
      <c r="I16" s="26" t="n"/>
      <c r="J16" s="26" t="n"/>
      <c r="K16" s="56" t="str">
        <f>IF(OR(tblQuarterly[[#This Row],[Quarter]]="",tblQuarterly[[#This Row],[Objective ID]]=""),"",tblQuarterly[[#This Row],[Quarter]]&amp;"|"&amp;tblQuarterly[[#This Row],[Objective ID]])</f>
        <v/>
      </c>
      <c r="L16" s="56" t="str">
        <f>IF(tblQuarterly[[#This Row],[Key]]="","",IFERROR(INDEX(tblQuarterly[Status],MATCH("Q"&amp;(VALUE(MID(tblQuarterly[[#This Row],[Quarter]],2,1))-1)&amp;"|"&amp;tblQuarterly[[#This Row],[Objective ID]],tblQuarterly[Key],0)),""))</f>
        <v/>
      </c>
      <c r="M16"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17">
      <c r="A17" s="60" t="n"/>
      <c r="B17" s="52" t="n"/>
      <c r="C17" s="56" t="str">
        <f>IF(tblQuarterly[[#This Row],[Objective ID]]="","",IFERROR(INDEX(tblObjectives[Objective],MATCH(tblQuarterly[[#This Row],[Objective ID]],tblObjectives[ID],0)),""))</f>
        <v/>
      </c>
      <c r="D17" s="53" t="n"/>
      <c r="E17" s="52" t="n"/>
      <c r="F17" s="26" t="n"/>
      <c r="G17" s="26" t="n"/>
      <c r="H17" s="26" t="n"/>
      <c r="I17" s="26" t="n"/>
      <c r="J17" s="26" t="n"/>
      <c r="K17" s="56" t="str">
        <f>IF(OR(tblQuarterly[[#This Row],[Quarter]]="",tblQuarterly[[#This Row],[Objective ID]]=""),"",tblQuarterly[[#This Row],[Quarter]]&amp;"|"&amp;tblQuarterly[[#This Row],[Objective ID]])</f>
        <v/>
      </c>
      <c r="L17" s="56" t="str">
        <f>IF(tblQuarterly[[#This Row],[Key]]="","",IFERROR(INDEX(tblQuarterly[Status],MATCH("Q"&amp;(VALUE(MID(tblQuarterly[[#This Row],[Quarter]],2,1))-1)&amp;"|"&amp;tblQuarterly[[#This Row],[Objective ID]],tblQuarterly[Key],0)),""))</f>
        <v/>
      </c>
      <c r="M17"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18">
      <c r="A18" s="60" t="n"/>
      <c r="B18" s="52" t="n"/>
      <c r="C18" s="56" t="str">
        <f>IF(tblQuarterly[[#This Row],[Objective ID]]="","",IFERROR(INDEX(tblObjectives[Objective],MATCH(tblQuarterly[[#This Row],[Objective ID]],tblObjectives[ID],0)),""))</f>
        <v/>
      </c>
      <c r="D18" s="53" t="n"/>
      <c r="E18" s="52" t="n"/>
      <c r="F18" s="26" t="n"/>
      <c r="G18" s="26" t="n"/>
      <c r="H18" s="26" t="n"/>
      <c r="I18" s="26" t="n"/>
      <c r="J18" s="26" t="n"/>
      <c r="K18" s="56" t="str">
        <f>IF(OR(tblQuarterly[[#This Row],[Quarter]]="",tblQuarterly[[#This Row],[Objective ID]]=""),"",tblQuarterly[[#This Row],[Quarter]]&amp;"|"&amp;tblQuarterly[[#This Row],[Objective ID]])</f>
        <v/>
      </c>
      <c r="L18" s="56" t="str">
        <f>IF(tblQuarterly[[#This Row],[Key]]="","",IFERROR(INDEX(tblQuarterly[Status],MATCH("Q"&amp;(VALUE(MID(tblQuarterly[[#This Row],[Quarter]],2,1))-1)&amp;"|"&amp;tblQuarterly[[#This Row],[Objective ID]],tblQuarterly[Key],0)),""))</f>
        <v/>
      </c>
      <c r="M18"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19">
      <c r="A19" s="60" t="n"/>
      <c r="B19" s="52" t="n"/>
      <c r="C19" s="56" t="str">
        <f>IF(tblQuarterly[[#This Row],[Objective ID]]="","",IFERROR(INDEX(tblObjectives[Objective],MATCH(tblQuarterly[[#This Row],[Objective ID]],tblObjectives[ID],0)),""))</f>
        <v/>
      </c>
      <c r="D19" s="53" t="n"/>
      <c r="E19" s="52" t="n"/>
      <c r="F19" s="26" t="n"/>
      <c r="G19" s="26" t="n"/>
      <c r="H19" s="26" t="n"/>
      <c r="I19" s="26" t="n"/>
      <c r="J19" s="26" t="n"/>
      <c r="K19" s="56" t="str">
        <f>IF(OR(tblQuarterly[[#This Row],[Quarter]]="",tblQuarterly[[#This Row],[Objective ID]]=""),"",tblQuarterly[[#This Row],[Quarter]]&amp;"|"&amp;tblQuarterly[[#This Row],[Objective ID]])</f>
        <v/>
      </c>
      <c r="L19" s="56" t="str">
        <f>IF(tblQuarterly[[#This Row],[Key]]="","",IFERROR(INDEX(tblQuarterly[Status],MATCH("Q"&amp;(VALUE(MID(tblQuarterly[[#This Row],[Quarter]],2,1))-1)&amp;"|"&amp;tblQuarterly[[#This Row],[Objective ID]],tblQuarterly[Key],0)),""))</f>
        <v/>
      </c>
      <c r="M19"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20">
      <c r="A20" s="60" t="n"/>
      <c r="B20" s="52" t="n"/>
      <c r="C20" s="56" t="str">
        <f>IF(tblQuarterly[[#This Row],[Objective ID]]="","",IFERROR(INDEX(tblObjectives[Objective],MATCH(tblQuarterly[[#This Row],[Objective ID]],tblObjectives[ID],0)),""))</f>
        <v/>
      </c>
      <c r="D20" s="53" t="n"/>
      <c r="E20" s="52" t="n"/>
      <c r="F20" s="26" t="n"/>
      <c r="G20" s="26" t="n"/>
      <c r="H20" s="26" t="n"/>
      <c r="I20" s="26" t="n"/>
      <c r="J20" s="26" t="n"/>
      <c r="K20" s="56" t="str">
        <f>IF(OR(tblQuarterly[[#This Row],[Quarter]]="",tblQuarterly[[#This Row],[Objective ID]]=""),"",tblQuarterly[[#This Row],[Quarter]]&amp;"|"&amp;tblQuarterly[[#This Row],[Objective ID]])</f>
        <v/>
      </c>
      <c r="L20" s="56" t="str">
        <f>IF(tblQuarterly[[#This Row],[Key]]="","",IFERROR(INDEX(tblQuarterly[Status],MATCH("Q"&amp;(VALUE(MID(tblQuarterly[[#This Row],[Quarter]],2,1))-1)&amp;"|"&amp;tblQuarterly[[#This Row],[Objective ID]],tblQuarterly[Key],0)),""))</f>
        <v/>
      </c>
      <c r="M20"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21">
      <c r="A21" s="60" t="n"/>
      <c r="B21" s="52" t="n"/>
      <c r="C21" s="56" t="str">
        <f>IF(tblQuarterly[[#This Row],[Objective ID]]="","",IFERROR(INDEX(tblObjectives[Objective],MATCH(tblQuarterly[[#This Row],[Objective ID]],tblObjectives[ID],0)),""))</f>
        <v/>
      </c>
      <c r="D21" s="53" t="n"/>
      <c r="E21" s="52" t="n"/>
      <c r="F21" s="26" t="n"/>
      <c r="G21" s="26" t="n"/>
      <c r="H21" s="26" t="n"/>
      <c r="I21" s="26" t="n"/>
      <c r="J21" s="26" t="n"/>
      <c r="K21" s="56" t="str">
        <f>IF(OR(tblQuarterly[[#This Row],[Quarter]]="",tblQuarterly[[#This Row],[Objective ID]]=""),"",tblQuarterly[[#This Row],[Quarter]]&amp;"|"&amp;tblQuarterly[[#This Row],[Objective ID]])</f>
        <v/>
      </c>
      <c r="L21" s="56" t="str">
        <f>IF(tblQuarterly[[#This Row],[Key]]="","",IFERROR(INDEX(tblQuarterly[Status],MATCH("Q"&amp;(VALUE(MID(tblQuarterly[[#This Row],[Quarter]],2,1))-1)&amp;"|"&amp;tblQuarterly[[#This Row],[Objective ID]],tblQuarterly[Key],0)),""))</f>
        <v/>
      </c>
      <c r="M21"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22">
      <c r="A22" s="60" t="n"/>
      <c r="B22" s="52" t="n"/>
      <c r="C22" s="56" t="str">
        <f>IF(tblQuarterly[[#This Row],[Objective ID]]="","",IFERROR(INDEX(tblObjectives[Objective],MATCH(tblQuarterly[[#This Row],[Objective ID]],tblObjectives[ID],0)),""))</f>
        <v/>
      </c>
      <c r="D22" s="53" t="n"/>
      <c r="E22" s="52" t="n"/>
      <c r="F22" s="26" t="n"/>
      <c r="G22" s="26" t="n"/>
      <c r="H22" s="26" t="n"/>
      <c r="I22" s="26" t="n"/>
      <c r="J22" s="26" t="n"/>
      <c r="K22" s="56" t="str">
        <f>IF(OR(tblQuarterly[[#This Row],[Quarter]]="",tblQuarterly[[#This Row],[Objective ID]]=""),"",tblQuarterly[[#This Row],[Quarter]]&amp;"|"&amp;tblQuarterly[[#This Row],[Objective ID]])</f>
        <v/>
      </c>
      <c r="L22" s="56" t="str">
        <f>IF(tblQuarterly[[#This Row],[Key]]="","",IFERROR(INDEX(tblQuarterly[Status],MATCH("Q"&amp;(VALUE(MID(tblQuarterly[[#This Row],[Quarter]],2,1))-1)&amp;"|"&amp;tblQuarterly[[#This Row],[Objective ID]],tblQuarterly[Key],0)),""))</f>
        <v/>
      </c>
      <c r="M22"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23">
      <c r="A23" s="60" t="n"/>
      <c r="B23" s="52" t="n"/>
      <c r="C23" s="56" t="str">
        <f>IF(tblQuarterly[[#This Row],[Objective ID]]="","",IFERROR(INDEX(tblObjectives[Objective],MATCH(tblQuarterly[[#This Row],[Objective ID]],tblObjectives[ID],0)),""))</f>
        <v/>
      </c>
      <c r="D23" s="53" t="n"/>
      <c r="E23" s="52" t="n"/>
      <c r="F23" s="26" t="n"/>
      <c r="G23" s="26" t="n"/>
      <c r="H23" s="26" t="n"/>
      <c r="I23" s="26" t="n"/>
      <c r="J23" s="26" t="n"/>
      <c r="K23" s="56" t="str">
        <f>IF(OR(tblQuarterly[[#This Row],[Quarter]]="",tblQuarterly[[#This Row],[Objective ID]]=""),"",tblQuarterly[[#This Row],[Quarter]]&amp;"|"&amp;tblQuarterly[[#This Row],[Objective ID]])</f>
        <v/>
      </c>
      <c r="L23" s="56" t="str">
        <f>IF(tblQuarterly[[#This Row],[Key]]="","",IFERROR(INDEX(tblQuarterly[Status],MATCH("Q"&amp;(VALUE(MID(tblQuarterly[[#This Row],[Quarter]],2,1))-1)&amp;"|"&amp;tblQuarterly[[#This Row],[Objective ID]],tblQuarterly[Key],0)),""))</f>
        <v/>
      </c>
      <c r="M23"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24">
      <c r="A24" s="60" t="n"/>
      <c r="B24" s="52" t="n"/>
      <c r="C24" s="56" t="str">
        <f>IF(tblQuarterly[[#This Row],[Objective ID]]="","",IFERROR(INDEX(tblObjectives[Objective],MATCH(tblQuarterly[[#This Row],[Objective ID]],tblObjectives[ID],0)),""))</f>
        <v/>
      </c>
      <c r="D24" s="53" t="n"/>
      <c r="E24" s="52" t="n"/>
      <c r="F24" s="26" t="n"/>
      <c r="G24" s="26" t="n"/>
      <c r="H24" s="26" t="n"/>
      <c r="I24" s="26" t="n"/>
      <c r="J24" s="26" t="n"/>
      <c r="K24" s="56" t="str">
        <f>IF(OR(tblQuarterly[[#This Row],[Quarter]]="",tblQuarterly[[#This Row],[Objective ID]]=""),"",tblQuarterly[[#This Row],[Quarter]]&amp;"|"&amp;tblQuarterly[[#This Row],[Objective ID]])</f>
        <v/>
      </c>
      <c r="L24" s="56" t="str">
        <f>IF(tblQuarterly[[#This Row],[Key]]="","",IFERROR(INDEX(tblQuarterly[Status],MATCH("Q"&amp;(VALUE(MID(tblQuarterly[[#This Row],[Quarter]],2,1))-1)&amp;"|"&amp;tblQuarterly[[#This Row],[Objective ID]],tblQuarterly[Key],0)),""))</f>
        <v/>
      </c>
      <c r="M24"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25">
      <c r="A25" s="60" t="n"/>
      <c r="B25" s="52" t="n"/>
      <c r="C25" s="56" t="str">
        <f>IF(tblQuarterly[[#This Row],[Objective ID]]="","",IFERROR(INDEX(tblObjectives[Objective],MATCH(tblQuarterly[[#This Row],[Objective ID]],tblObjectives[ID],0)),""))</f>
        <v/>
      </c>
      <c r="D25" s="53" t="n"/>
      <c r="E25" s="52" t="n"/>
      <c r="F25" s="26" t="n"/>
      <c r="G25" s="26" t="n"/>
      <c r="H25" s="26" t="n"/>
      <c r="I25" s="26" t="n"/>
      <c r="J25" s="26" t="n"/>
      <c r="K25" s="56" t="str">
        <f>IF(OR(tblQuarterly[[#This Row],[Quarter]]="",tblQuarterly[[#This Row],[Objective ID]]=""),"",tblQuarterly[[#This Row],[Quarter]]&amp;"|"&amp;tblQuarterly[[#This Row],[Objective ID]])</f>
        <v/>
      </c>
      <c r="L25" s="56" t="str">
        <f>IF(tblQuarterly[[#This Row],[Key]]="","",IFERROR(INDEX(tblQuarterly[Status],MATCH("Q"&amp;(VALUE(MID(tblQuarterly[[#This Row],[Quarter]],2,1))-1)&amp;"|"&amp;tblQuarterly[[#This Row],[Objective ID]],tblQuarterly[Key],0)),""))</f>
        <v/>
      </c>
      <c r="M25"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26">
      <c r="A26" s="60" t="n"/>
      <c r="B26" s="52" t="n"/>
      <c r="C26" s="56" t="str">
        <f>IF(tblQuarterly[[#This Row],[Objective ID]]="","",IFERROR(INDEX(tblObjectives[Objective],MATCH(tblQuarterly[[#This Row],[Objective ID]],tblObjectives[ID],0)),""))</f>
        <v/>
      </c>
      <c r="D26" s="53" t="n"/>
      <c r="E26" s="52" t="n"/>
      <c r="F26" s="26" t="n"/>
      <c r="G26" s="26" t="n"/>
      <c r="H26" s="26" t="n"/>
      <c r="I26" s="26" t="n"/>
      <c r="J26" s="26" t="n"/>
      <c r="K26" s="56" t="str">
        <f>IF(OR(tblQuarterly[[#This Row],[Quarter]]="",tblQuarterly[[#This Row],[Objective ID]]=""),"",tblQuarterly[[#This Row],[Quarter]]&amp;"|"&amp;tblQuarterly[[#This Row],[Objective ID]])</f>
        <v/>
      </c>
      <c r="L26" s="56" t="str">
        <f>IF(tblQuarterly[[#This Row],[Key]]="","",IFERROR(INDEX(tblQuarterly[Status],MATCH("Q"&amp;(VALUE(MID(tblQuarterly[[#This Row],[Quarter]],2,1))-1)&amp;"|"&amp;tblQuarterly[[#This Row],[Objective ID]],tblQuarterly[Key],0)),""))</f>
        <v/>
      </c>
      <c r="M26"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27">
      <c r="A27" s="60" t="n"/>
      <c r="B27" s="52" t="n"/>
      <c r="C27" s="56" t="str">
        <f>IF(tblQuarterly[[#This Row],[Objective ID]]="","",IFERROR(INDEX(tblObjectives[Objective],MATCH(tblQuarterly[[#This Row],[Objective ID]],tblObjectives[ID],0)),""))</f>
        <v/>
      </c>
      <c r="D27" s="53" t="n"/>
      <c r="E27" s="52" t="n"/>
      <c r="F27" s="26" t="n"/>
      <c r="G27" s="26" t="n"/>
      <c r="H27" s="26" t="n"/>
      <c r="I27" s="26" t="n"/>
      <c r="J27" s="26" t="n"/>
      <c r="K27" s="56" t="str">
        <f>IF(OR(tblQuarterly[[#This Row],[Quarter]]="",tblQuarterly[[#This Row],[Objective ID]]=""),"",tblQuarterly[[#This Row],[Quarter]]&amp;"|"&amp;tblQuarterly[[#This Row],[Objective ID]])</f>
        <v/>
      </c>
      <c r="L27" s="56" t="str">
        <f>IF(tblQuarterly[[#This Row],[Key]]="","",IFERROR(INDEX(tblQuarterly[Status],MATCH("Q"&amp;(VALUE(MID(tblQuarterly[[#This Row],[Quarter]],2,1))-1)&amp;"|"&amp;tblQuarterly[[#This Row],[Objective ID]],tblQuarterly[Key],0)),""))</f>
        <v/>
      </c>
      <c r="M27"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28">
      <c r="A28" s="60" t="n"/>
      <c r="B28" s="52" t="n"/>
      <c r="C28" s="56" t="str">
        <f>IF(tblQuarterly[[#This Row],[Objective ID]]="","",IFERROR(INDEX(tblObjectives[Objective],MATCH(tblQuarterly[[#This Row],[Objective ID]],tblObjectives[ID],0)),""))</f>
        <v/>
      </c>
      <c r="D28" s="53" t="n"/>
      <c r="E28" s="52" t="n"/>
      <c r="F28" s="26" t="n"/>
      <c r="G28" s="26" t="n"/>
      <c r="H28" s="26" t="n"/>
      <c r="I28" s="26" t="n"/>
      <c r="J28" s="26" t="n"/>
      <c r="K28" s="56" t="str">
        <f>IF(OR(tblQuarterly[[#This Row],[Quarter]]="",tblQuarterly[[#This Row],[Objective ID]]=""),"",tblQuarterly[[#This Row],[Quarter]]&amp;"|"&amp;tblQuarterly[[#This Row],[Objective ID]])</f>
        <v/>
      </c>
      <c r="L28" s="56" t="str">
        <f>IF(tblQuarterly[[#This Row],[Key]]="","",IFERROR(INDEX(tblQuarterly[Status],MATCH("Q"&amp;(VALUE(MID(tblQuarterly[[#This Row],[Quarter]],2,1))-1)&amp;"|"&amp;tblQuarterly[[#This Row],[Objective ID]],tblQuarterly[Key],0)),""))</f>
        <v/>
      </c>
      <c r="M28"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29">
      <c r="A29" s="60" t="n"/>
      <c r="B29" s="52" t="n"/>
      <c r="C29" s="56" t="str">
        <f>IF(tblQuarterly[[#This Row],[Objective ID]]="","",IFERROR(INDEX(tblObjectives[Objective],MATCH(tblQuarterly[[#This Row],[Objective ID]],tblObjectives[ID],0)),""))</f>
        <v/>
      </c>
      <c r="D29" s="53" t="n"/>
      <c r="E29" s="52" t="n"/>
      <c r="F29" s="26" t="n"/>
      <c r="G29" s="26" t="n"/>
      <c r="H29" s="26" t="n"/>
      <c r="I29" s="26" t="n"/>
      <c r="J29" s="26" t="n"/>
      <c r="K29" s="56" t="str">
        <f>IF(OR(tblQuarterly[[#This Row],[Quarter]]="",tblQuarterly[[#This Row],[Objective ID]]=""),"",tblQuarterly[[#This Row],[Quarter]]&amp;"|"&amp;tblQuarterly[[#This Row],[Objective ID]])</f>
        <v/>
      </c>
      <c r="L29" s="56" t="str">
        <f>IF(tblQuarterly[[#This Row],[Key]]="","",IFERROR(INDEX(tblQuarterly[Status],MATCH("Q"&amp;(VALUE(MID(tblQuarterly[[#This Row],[Quarter]],2,1))-1)&amp;"|"&amp;tblQuarterly[[#This Row],[Objective ID]],tblQuarterly[Key],0)),""))</f>
        <v/>
      </c>
      <c r="M29"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30">
      <c r="A30" s="60" t="n"/>
      <c r="B30" s="52" t="n"/>
      <c r="C30" s="56" t="str">
        <f>IF(tblQuarterly[[#This Row],[Objective ID]]="","",IFERROR(INDEX(tblObjectives[Objective],MATCH(tblQuarterly[[#This Row],[Objective ID]],tblObjectives[ID],0)),""))</f>
        <v/>
      </c>
      <c r="D30" s="53" t="n"/>
      <c r="E30" s="52" t="n"/>
      <c r="F30" s="26" t="n"/>
      <c r="G30" s="26" t="n"/>
      <c r="H30" s="26" t="n"/>
      <c r="I30" s="26" t="n"/>
      <c r="J30" s="26" t="n"/>
      <c r="K30" s="56" t="str">
        <f>IF(OR(tblQuarterly[[#This Row],[Quarter]]="",tblQuarterly[[#This Row],[Objective ID]]=""),"",tblQuarterly[[#This Row],[Quarter]]&amp;"|"&amp;tblQuarterly[[#This Row],[Objective ID]])</f>
        <v/>
      </c>
      <c r="L30" s="56" t="str">
        <f>IF(tblQuarterly[[#This Row],[Key]]="","",IFERROR(INDEX(tblQuarterly[Status],MATCH("Q"&amp;(VALUE(MID(tblQuarterly[[#This Row],[Quarter]],2,1))-1)&amp;"|"&amp;tblQuarterly[[#This Row],[Objective ID]],tblQuarterly[Key],0)),""))</f>
        <v/>
      </c>
      <c r="M30"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31">
      <c r="A31" s="60" t="n"/>
      <c r="B31" s="52" t="n"/>
      <c r="C31" s="56" t="str">
        <f>IF(tblQuarterly[[#This Row],[Objective ID]]="","",IFERROR(INDEX(tblObjectives[Objective],MATCH(tblQuarterly[[#This Row],[Objective ID]],tblObjectives[ID],0)),""))</f>
        <v/>
      </c>
      <c r="D31" s="53" t="n"/>
      <c r="E31" s="52" t="n"/>
      <c r="F31" s="26" t="n"/>
      <c r="G31" s="26" t="n"/>
      <c r="H31" s="26" t="n"/>
      <c r="I31" s="26" t="n"/>
      <c r="J31" s="26" t="n"/>
      <c r="K31" s="56" t="str">
        <f>IF(OR(tblQuarterly[[#This Row],[Quarter]]="",tblQuarterly[[#This Row],[Objective ID]]=""),"",tblQuarterly[[#This Row],[Quarter]]&amp;"|"&amp;tblQuarterly[[#This Row],[Objective ID]])</f>
        <v/>
      </c>
      <c r="L31" s="56" t="str">
        <f>IF(tblQuarterly[[#This Row],[Key]]="","",IFERROR(INDEX(tblQuarterly[Status],MATCH("Q"&amp;(VALUE(MID(tblQuarterly[[#This Row],[Quarter]],2,1))-1)&amp;"|"&amp;tblQuarterly[[#This Row],[Objective ID]],tblQuarterly[Key],0)),""))</f>
        <v/>
      </c>
      <c r="M31"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32">
      <c r="A32" s="60" t="n"/>
      <c r="B32" s="52" t="n"/>
      <c r="C32" s="56" t="str">
        <f>IF(tblQuarterly[[#This Row],[Objective ID]]="","",IFERROR(INDEX(tblObjectives[Objective],MATCH(tblQuarterly[[#This Row],[Objective ID]],tblObjectives[ID],0)),""))</f>
        <v/>
      </c>
      <c r="D32" s="53" t="n"/>
      <c r="E32" s="52" t="n"/>
      <c r="F32" s="26" t="n"/>
      <c r="G32" s="26" t="n"/>
      <c r="H32" s="26" t="n"/>
      <c r="I32" s="26" t="n"/>
      <c r="J32" s="26" t="n"/>
      <c r="K32" s="56" t="str">
        <f>IF(OR(tblQuarterly[[#This Row],[Quarter]]="",tblQuarterly[[#This Row],[Objective ID]]=""),"",tblQuarterly[[#This Row],[Quarter]]&amp;"|"&amp;tblQuarterly[[#This Row],[Objective ID]])</f>
        <v/>
      </c>
      <c r="L32" s="56" t="str">
        <f>IF(tblQuarterly[[#This Row],[Key]]="","",IFERROR(INDEX(tblQuarterly[Status],MATCH("Q"&amp;(VALUE(MID(tblQuarterly[[#This Row],[Quarter]],2,1))-1)&amp;"|"&amp;tblQuarterly[[#This Row],[Objective ID]],tblQuarterly[Key],0)),""))</f>
        <v/>
      </c>
      <c r="M32"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33">
      <c r="A33" s="60" t="n"/>
      <c r="B33" s="52" t="n"/>
      <c r="C33" s="56" t="str">
        <f>IF(tblQuarterly[[#This Row],[Objective ID]]="","",IFERROR(INDEX(tblObjectives[Objective],MATCH(tblQuarterly[[#This Row],[Objective ID]],tblObjectives[ID],0)),""))</f>
        <v/>
      </c>
      <c r="D33" s="53" t="n"/>
      <c r="E33" s="52" t="n"/>
      <c r="F33" s="26" t="n"/>
      <c r="G33" s="26" t="n"/>
      <c r="H33" s="26" t="n"/>
      <c r="I33" s="26" t="n"/>
      <c r="J33" s="26" t="n"/>
      <c r="K33" s="56" t="str">
        <f>IF(OR(tblQuarterly[[#This Row],[Quarter]]="",tblQuarterly[[#This Row],[Objective ID]]=""),"",tblQuarterly[[#This Row],[Quarter]]&amp;"|"&amp;tblQuarterly[[#This Row],[Objective ID]])</f>
        <v/>
      </c>
      <c r="L33" s="56" t="str">
        <f>IF(tblQuarterly[[#This Row],[Key]]="","",IFERROR(INDEX(tblQuarterly[Status],MATCH("Q"&amp;(VALUE(MID(tblQuarterly[[#This Row],[Quarter]],2,1))-1)&amp;"|"&amp;tblQuarterly[[#This Row],[Objective ID]],tblQuarterly[Key],0)),""))</f>
        <v/>
      </c>
      <c r="M33"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34">
      <c r="A34" s="60" t="n"/>
      <c r="B34" s="52" t="n"/>
      <c r="C34" s="56" t="str">
        <f>IF(tblQuarterly[[#This Row],[Objective ID]]="","",IFERROR(INDEX(tblObjectives[Objective],MATCH(tblQuarterly[[#This Row],[Objective ID]],tblObjectives[ID],0)),""))</f>
        <v/>
      </c>
      <c r="D34" s="53" t="n"/>
      <c r="E34" s="52" t="n"/>
      <c r="F34" s="26" t="n"/>
      <c r="G34" s="26" t="n"/>
      <c r="H34" s="26" t="n"/>
      <c r="I34" s="26" t="n"/>
      <c r="J34" s="26" t="n"/>
      <c r="K34" s="56" t="str">
        <f>IF(OR(tblQuarterly[[#This Row],[Quarter]]="",tblQuarterly[[#This Row],[Objective ID]]=""),"",tblQuarterly[[#This Row],[Quarter]]&amp;"|"&amp;tblQuarterly[[#This Row],[Objective ID]])</f>
        <v/>
      </c>
      <c r="L34" s="56" t="str">
        <f>IF(tblQuarterly[[#This Row],[Key]]="","",IFERROR(INDEX(tblQuarterly[Status],MATCH("Q"&amp;(VALUE(MID(tblQuarterly[[#This Row],[Quarter]],2,1))-1)&amp;"|"&amp;tblQuarterly[[#This Row],[Objective ID]],tblQuarterly[Key],0)),""))</f>
        <v/>
      </c>
      <c r="M34"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35">
      <c r="A35" s="60" t="n"/>
      <c r="B35" s="52" t="n"/>
      <c r="C35" s="56" t="str">
        <f>IF(tblQuarterly[[#This Row],[Objective ID]]="","",IFERROR(INDEX(tblObjectives[Objective],MATCH(tblQuarterly[[#This Row],[Objective ID]],tblObjectives[ID],0)),""))</f>
        <v/>
      </c>
      <c r="D35" s="53" t="n"/>
      <c r="E35" s="52" t="n"/>
      <c r="F35" s="26" t="n"/>
      <c r="G35" s="26" t="n"/>
      <c r="H35" s="26" t="n"/>
      <c r="I35" s="26" t="n"/>
      <c r="J35" s="26" t="n"/>
      <c r="K35" s="56" t="str">
        <f>IF(OR(tblQuarterly[[#This Row],[Quarter]]="",tblQuarterly[[#This Row],[Objective ID]]=""),"",tblQuarterly[[#This Row],[Quarter]]&amp;"|"&amp;tblQuarterly[[#This Row],[Objective ID]])</f>
        <v/>
      </c>
      <c r="L35" s="56" t="str">
        <f>IF(tblQuarterly[[#This Row],[Key]]="","",IFERROR(INDEX(tblQuarterly[Status],MATCH("Q"&amp;(VALUE(MID(tblQuarterly[[#This Row],[Quarter]],2,1))-1)&amp;"|"&amp;tblQuarterly[[#This Row],[Objective ID]],tblQuarterly[Key],0)),""))</f>
        <v/>
      </c>
      <c r="M35"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36">
      <c r="A36" s="60" t="n"/>
      <c r="B36" s="52" t="n"/>
      <c r="C36" s="56" t="str">
        <f>IF(tblQuarterly[[#This Row],[Objective ID]]="","",IFERROR(INDEX(tblObjectives[Objective],MATCH(tblQuarterly[[#This Row],[Objective ID]],tblObjectives[ID],0)),""))</f>
        <v/>
      </c>
      <c r="D36" s="53" t="n"/>
      <c r="E36" s="52" t="n"/>
      <c r="F36" s="26" t="n"/>
      <c r="G36" s="26" t="n"/>
      <c r="H36" s="26" t="n"/>
      <c r="I36" s="26" t="n"/>
      <c r="J36" s="26" t="n"/>
      <c r="K36" s="56" t="str">
        <f>IF(OR(tblQuarterly[[#This Row],[Quarter]]="",tblQuarterly[[#This Row],[Objective ID]]=""),"",tblQuarterly[[#This Row],[Quarter]]&amp;"|"&amp;tblQuarterly[[#This Row],[Objective ID]])</f>
        <v/>
      </c>
      <c r="L36" s="56" t="str">
        <f>IF(tblQuarterly[[#This Row],[Key]]="","",IFERROR(INDEX(tblQuarterly[Status],MATCH("Q"&amp;(VALUE(MID(tblQuarterly[[#This Row],[Quarter]],2,1))-1)&amp;"|"&amp;tblQuarterly[[#This Row],[Objective ID]],tblQuarterly[Key],0)),""))</f>
        <v/>
      </c>
      <c r="M36"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37">
      <c r="A37" s="60" t="n"/>
      <c r="B37" s="52" t="n"/>
      <c r="C37" s="56" t="str">
        <f>IF(tblQuarterly[[#This Row],[Objective ID]]="","",IFERROR(INDEX(tblObjectives[Objective],MATCH(tblQuarterly[[#This Row],[Objective ID]],tblObjectives[ID],0)),""))</f>
        <v/>
      </c>
      <c r="D37" s="53" t="n"/>
      <c r="E37" s="52" t="n"/>
      <c r="F37" s="26" t="n"/>
      <c r="G37" s="26" t="n"/>
      <c r="H37" s="26" t="n"/>
      <c r="I37" s="26" t="n"/>
      <c r="J37" s="26" t="n"/>
      <c r="K37" s="56" t="str">
        <f>IF(OR(tblQuarterly[[#This Row],[Quarter]]="",tblQuarterly[[#This Row],[Objective ID]]=""),"",tblQuarterly[[#This Row],[Quarter]]&amp;"|"&amp;tblQuarterly[[#This Row],[Objective ID]])</f>
        <v/>
      </c>
      <c r="L37" s="56" t="str">
        <f>IF(tblQuarterly[[#This Row],[Key]]="","",IFERROR(INDEX(tblQuarterly[Status],MATCH("Q"&amp;(VALUE(MID(tblQuarterly[[#This Row],[Quarter]],2,1))-1)&amp;"|"&amp;tblQuarterly[[#This Row],[Objective ID]],tblQuarterly[Key],0)),""))</f>
        <v/>
      </c>
      <c r="M37"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38">
      <c r="A38" s="60" t="n"/>
      <c r="B38" s="52" t="n"/>
      <c r="C38" s="56" t="str">
        <f>IF(tblQuarterly[[#This Row],[Objective ID]]="","",IFERROR(INDEX(tblObjectives[Objective],MATCH(tblQuarterly[[#This Row],[Objective ID]],tblObjectives[ID],0)),""))</f>
        <v/>
      </c>
      <c r="D38" s="53" t="n"/>
      <c r="E38" s="52" t="n"/>
      <c r="F38" s="26" t="n"/>
      <c r="G38" s="26" t="n"/>
      <c r="H38" s="26" t="n"/>
      <c r="I38" s="26" t="n"/>
      <c r="J38" s="26" t="n"/>
      <c r="K38" s="56" t="str">
        <f>IF(OR(tblQuarterly[[#This Row],[Quarter]]="",tblQuarterly[[#This Row],[Objective ID]]=""),"",tblQuarterly[[#This Row],[Quarter]]&amp;"|"&amp;tblQuarterly[[#This Row],[Objective ID]])</f>
        <v/>
      </c>
      <c r="L38" s="56" t="str">
        <f>IF(tblQuarterly[[#This Row],[Key]]="","",IFERROR(INDEX(tblQuarterly[Status],MATCH("Q"&amp;(VALUE(MID(tblQuarterly[[#This Row],[Quarter]],2,1))-1)&amp;"|"&amp;tblQuarterly[[#This Row],[Objective ID]],tblQuarterly[Key],0)),""))</f>
        <v/>
      </c>
      <c r="M38"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39">
      <c r="A39" s="60" t="n"/>
      <c r="B39" s="52" t="n"/>
      <c r="C39" s="56" t="str">
        <f>IF(tblQuarterly[[#This Row],[Objective ID]]="","",IFERROR(INDEX(tblObjectives[Objective],MATCH(tblQuarterly[[#This Row],[Objective ID]],tblObjectives[ID],0)),""))</f>
        <v/>
      </c>
      <c r="D39" s="53" t="n"/>
      <c r="E39" s="52" t="n"/>
      <c r="F39" s="26" t="n"/>
      <c r="G39" s="26" t="n"/>
      <c r="H39" s="26" t="n"/>
      <c r="I39" s="26" t="n"/>
      <c r="J39" s="26" t="n"/>
      <c r="K39" s="56" t="str">
        <f>IF(OR(tblQuarterly[[#This Row],[Quarter]]="",tblQuarterly[[#This Row],[Objective ID]]=""),"",tblQuarterly[[#This Row],[Quarter]]&amp;"|"&amp;tblQuarterly[[#This Row],[Objective ID]])</f>
        <v/>
      </c>
      <c r="L39" s="56" t="str">
        <f>IF(tblQuarterly[[#This Row],[Key]]="","",IFERROR(INDEX(tblQuarterly[Status],MATCH("Q"&amp;(VALUE(MID(tblQuarterly[[#This Row],[Quarter]],2,1))-1)&amp;"|"&amp;tblQuarterly[[#This Row],[Objective ID]],tblQuarterly[Key],0)),""))</f>
        <v/>
      </c>
      <c r="M39"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40">
      <c r="A40" s="60" t="n"/>
      <c r="B40" s="52" t="n"/>
      <c r="C40" s="56" t="str">
        <f>IF(tblQuarterly[[#This Row],[Objective ID]]="","",IFERROR(INDEX(tblObjectives[Objective],MATCH(tblQuarterly[[#This Row],[Objective ID]],tblObjectives[ID],0)),""))</f>
        <v/>
      </c>
      <c r="D40" s="53" t="n"/>
      <c r="E40" s="52" t="n"/>
      <c r="F40" s="26" t="n"/>
      <c r="G40" s="26" t="n"/>
      <c r="H40" s="26" t="n"/>
      <c r="I40" s="26" t="n"/>
      <c r="J40" s="26" t="n"/>
      <c r="K40" s="56" t="str">
        <f>IF(OR(tblQuarterly[[#This Row],[Quarter]]="",tblQuarterly[[#This Row],[Objective ID]]=""),"",tblQuarterly[[#This Row],[Quarter]]&amp;"|"&amp;tblQuarterly[[#This Row],[Objective ID]])</f>
        <v/>
      </c>
      <c r="L40" s="56" t="str">
        <f>IF(tblQuarterly[[#This Row],[Key]]="","",IFERROR(INDEX(tblQuarterly[Status],MATCH("Q"&amp;(VALUE(MID(tblQuarterly[[#This Row],[Quarter]],2,1))-1)&amp;"|"&amp;tblQuarterly[[#This Row],[Objective ID]],tblQuarterly[Key],0)),""))</f>
        <v/>
      </c>
      <c r="M40"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41">
      <c r="A41" s="60" t="n"/>
      <c r="B41" s="52" t="n"/>
      <c r="C41" s="56" t="str">
        <f>IF(tblQuarterly[[#This Row],[Objective ID]]="","",IFERROR(INDEX(tblObjectives[Objective],MATCH(tblQuarterly[[#This Row],[Objective ID]],tblObjectives[ID],0)),""))</f>
        <v/>
      </c>
      <c r="D41" s="53" t="n"/>
      <c r="E41" s="52" t="n"/>
      <c r="F41" s="26" t="n"/>
      <c r="G41" s="26" t="n"/>
      <c r="H41" s="26" t="n"/>
      <c r="I41" s="26" t="n"/>
      <c r="J41" s="26" t="n"/>
      <c r="K41" s="56" t="str">
        <f>IF(OR(tblQuarterly[[#This Row],[Quarter]]="",tblQuarterly[[#This Row],[Objective ID]]=""),"",tblQuarterly[[#This Row],[Quarter]]&amp;"|"&amp;tblQuarterly[[#This Row],[Objective ID]])</f>
        <v/>
      </c>
      <c r="L41" s="56" t="str">
        <f>IF(tblQuarterly[[#This Row],[Key]]="","",IFERROR(INDEX(tblQuarterly[Status],MATCH("Q"&amp;(VALUE(MID(tblQuarterly[[#This Row],[Quarter]],2,1))-1)&amp;"|"&amp;tblQuarterly[[#This Row],[Objective ID]],tblQuarterly[Key],0)),""))</f>
        <v/>
      </c>
      <c r="M41"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42">
      <c r="A42" s="60" t="n"/>
      <c r="B42" s="52" t="n"/>
      <c r="C42" s="56" t="str">
        <f>IF(tblQuarterly[[#This Row],[Objective ID]]="","",IFERROR(INDEX(tblObjectives[Objective],MATCH(tblQuarterly[[#This Row],[Objective ID]],tblObjectives[ID],0)),""))</f>
        <v/>
      </c>
      <c r="D42" s="53" t="n"/>
      <c r="E42" s="52" t="n"/>
      <c r="F42" s="26" t="n"/>
      <c r="G42" s="26" t="n"/>
      <c r="H42" s="26" t="n"/>
      <c r="I42" s="26" t="n"/>
      <c r="J42" s="26" t="n"/>
      <c r="K42" s="56" t="str">
        <f>IF(OR(tblQuarterly[[#This Row],[Quarter]]="",tblQuarterly[[#This Row],[Objective ID]]=""),"",tblQuarterly[[#This Row],[Quarter]]&amp;"|"&amp;tblQuarterly[[#This Row],[Objective ID]])</f>
        <v/>
      </c>
      <c r="L42" s="56" t="str">
        <f>IF(tblQuarterly[[#This Row],[Key]]="","",IFERROR(INDEX(tblQuarterly[Status],MATCH("Q"&amp;(VALUE(MID(tblQuarterly[[#This Row],[Quarter]],2,1))-1)&amp;"|"&amp;tblQuarterly[[#This Row],[Objective ID]],tblQuarterly[Key],0)),""))</f>
        <v/>
      </c>
      <c r="M42"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43">
      <c r="A43" s="60" t="n"/>
      <c r="B43" s="52" t="n"/>
      <c r="C43" s="56" t="str">
        <f>IF(tblQuarterly[[#This Row],[Objective ID]]="","",IFERROR(INDEX(tblObjectives[Objective],MATCH(tblQuarterly[[#This Row],[Objective ID]],tblObjectives[ID],0)),""))</f>
        <v/>
      </c>
      <c r="D43" s="53" t="n"/>
      <c r="E43" s="52" t="n"/>
      <c r="F43" s="26" t="n"/>
      <c r="G43" s="26" t="n"/>
      <c r="H43" s="26" t="n"/>
      <c r="I43" s="26" t="n"/>
      <c r="J43" s="26" t="n"/>
      <c r="K43" s="56" t="str">
        <f>IF(OR(tblQuarterly[[#This Row],[Quarter]]="",tblQuarterly[[#This Row],[Objective ID]]=""),"",tblQuarterly[[#This Row],[Quarter]]&amp;"|"&amp;tblQuarterly[[#This Row],[Objective ID]])</f>
        <v/>
      </c>
      <c r="L43" s="56" t="str">
        <f>IF(tblQuarterly[[#This Row],[Key]]="","",IFERROR(INDEX(tblQuarterly[Status],MATCH("Q"&amp;(VALUE(MID(tblQuarterly[[#This Row],[Quarter]],2,1))-1)&amp;"|"&amp;tblQuarterly[[#This Row],[Objective ID]],tblQuarterly[Key],0)),""))</f>
        <v/>
      </c>
      <c r="M43"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44">
      <c r="A44" s="60" t="n"/>
      <c r="B44" s="52" t="n"/>
      <c r="C44" s="56" t="str">
        <f>IF(tblQuarterly[[#This Row],[Objective ID]]="","",IFERROR(INDEX(tblObjectives[Objective],MATCH(tblQuarterly[[#This Row],[Objective ID]],tblObjectives[ID],0)),""))</f>
        <v/>
      </c>
      <c r="D44" s="53" t="n"/>
      <c r="E44" s="52" t="n"/>
      <c r="F44" s="26" t="n"/>
      <c r="G44" s="26" t="n"/>
      <c r="H44" s="26" t="n"/>
      <c r="I44" s="26" t="n"/>
      <c r="J44" s="26" t="n"/>
      <c r="K44" s="56" t="str">
        <f>IF(OR(tblQuarterly[[#This Row],[Quarter]]="",tblQuarterly[[#This Row],[Objective ID]]=""),"",tblQuarterly[[#This Row],[Quarter]]&amp;"|"&amp;tblQuarterly[[#This Row],[Objective ID]])</f>
        <v/>
      </c>
      <c r="L44" s="56" t="str">
        <f>IF(tblQuarterly[[#This Row],[Key]]="","",IFERROR(INDEX(tblQuarterly[Status],MATCH("Q"&amp;(VALUE(MID(tblQuarterly[[#This Row],[Quarter]],2,1))-1)&amp;"|"&amp;tblQuarterly[[#This Row],[Objective ID]],tblQuarterly[Key],0)),""))</f>
        <v/>
      </c>
      <c r="M44"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45">
      <c r="A45" s="60" t="n"/>
      <c r="B45" s="52" t="n"/>
      <c r="C45" s="56" t="str">
        <f>IF(tblQuarterly[[#This Row],[Objective ID]]="","",IFERROR(INDEX(tblObjectives[Objective],MATCH(tblQuarterly[[#This Row],[Objective ID]],tblObjectives[ID],0)),""))</f>
        <v/>
      </c>
      <c r="D45" s="53" t="n"/>
      <c r="E45" s="52" t="n"/>
      <c r="F45" s="26" t="n"/>
      <c r="G45" s="26" t="n"/>
      <c r="H45" s="26" t="n"/>
      <c r="I45" s="26" t="n"/>
      <c r="J45" s="26" t="n"/>
      <c r="K45" s="56" t="str">
        <f>IF(OR(tblQuarterly[[#This Row],[Quarter]]="",tblQuarterly[[#This Row],[Objective ID]]=""),"",tblQuarterly[[#This Row],[Quarter]]&amp;"|"&amp;tblQuarterly[[#This Row],[Objective ID]])</f>
        <v/>
      </c>
      <c r="L45" s="56" t="str">
        <f>IF(tblQuarterly[[#This Row],[Key]]="","",IFERROR(INDEX(tblQuarterly[Status],MATCH("Q"&amp;(VALUE(MID(tblQuarterly[[#This Row],[Quarter]],2,1))-1)&amp;"|"&amp;tblQuarterly[[#This Row],[Objective ID]],tblQuarterly[Key],0)),""))</f>
        <v/>
      </c>
      <c r="M45" s="56"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sheetData>
  <conditionalFormatting sqref="E6:E45">
    <cfRule type="cellIs" priority="1" operator="equal" dxfId="1">
      <formula>"On Track"</formula>
    </cfRule>
    <cfRule type="cellIs" priority="2" operator="equal" dxfId="2">
      <formula>"Complete"</formula>
    </cfRule>
    <cfRule type="cellIs" priority="3" operator="equal" dxfId="3">
      <formula>"At Risk"</formula>
    </cfRule>
    <cfRule type="cellIs" priority="4" operator="equal" dxfId="4">
      <formula>"Off Track"</formula>
    </cfRule>
    <cfRule type="cellIs" priority="5" operator="equal" dxfId="5">
      <formula>"Not Started"</formula>
    </cfRule>
    <cfRule type="cellIs" priority="6" operator="equal" dxfId="6">
      <formula>"Deferred"</formula>
    </cfRule>
  </conditionalFormatting>
  <conditionalFormatting sqref="L6:L45">
    <cfRule type="cellIs" priority="7" operator="equal" dxfId="1">
      <formula>"On Track"</formula>
    </cfRule>
    <cfRule type="cellIs" priority="8" operator="equal" dxfId="2">
      <formula>"Complete"</formula>
    </cfRule>
    <cfRule type="cellIs" priority="9" operator="equal" dxfId="3">
      <formula>"At Risk"</formula>
    </cfRule>
    <cfRule type="cellIs" priority="10" operator="equal" dxfId="4">
      <formula>"Off Track"</formula>
    </cfRule>
    <cfRule type="cellIs" priority="11" operator="equal" dxfId="5">
      <formula>"Not Started"</formula>
    </cfRule>
    <cfRule type="cellIs" priority="12" operator="equal" dxfId="6">
      <formula>"Deferred"</formula>
    </cfRule>
  </conditionalFormatting>
  <conditionalFormatting sqref="M6:M45">
    <cfRule type="cellIs" priority="13" operator="equal" dxfId="8">
      <formula>"Improved"</formula>
    </cfRule>
    <cfRule type="cellIs" priority="14" operator="equal" dxfId="4">
      <formula>"Declined"</formula>
    </cfRule>
  </conditionalFormatting>
  <dataValidations count="4">
    <dataValidation sqref="A6:A45" showDropDown="0" showInputMessage="0" showErrorMessage="1" allowBlank="1" errorTitle="Choose from the list" error="Pick a value from the dropdown. Edit the lists on the Lists sheet." type="list" errorStyle="stop">
      <formula1>=lstQuarter</formula1>
    </dataValidation>
    <dataValidation sqref="B6:B45" showDropDown="0" showInputMessage="0" showErrorMessage="1" allowBlank="1" errorTitle="Choose from the list" error="Pick a value from the dropdown. Edit the lists on the Lists sheet." type="list" errorStyle="stop">
      <formula1>=rngObjIDs</formula1>
    </dataValidation>
    <dataValidation sqref="D6:D45" showDropDown="0" showInputMessage="0" showErrorMessage="1" allowBlank="1" errorTitle="Enter a date" error="Enter a valid date, for example 4/15/2027." type="date" errorStyle="stop" operator="greaterThanOrEqual">
      <formula1>36526</formula1>
    </dataValidation>
    <dataValidation sqref="E6:E45" showDropDown="0" showInputMessage="0" showErrorMessage="1" allowBlank="1" errorTitle="Choose from the list" error="Pick a value from the dropdown. Edit the lists on the Lists sheet." type="list" errorStyle="stop">
      <formula1>=lstObjStatus</formula1>
    </dataValidation>
  </dataValidations>
  <pageMargins left="0.5" right="0.5" top="1" bottom="1" header="0.5" footer="0.5"/>
  <pageSetup orientation="landscape" fitToHeight="0" fitToWidth="1"/>
  <headerFooter>
    <oddHeader/>
    <oddFooter>&amp;L&amp;8 Intergov Association | Strategic Plan Tracker&amp;R&amp;8 &amp;A | Page &amp;P of &amp;N</oddFooter>
    <evenHeader/>
    <evenFooter/>
    <firstHeader/>
    <firstFooter/>
  </headerFooter>
  <tableParts count="1">
    <tablePart xmlns:r="http://schemas.openxmlformats.org/officeDocument/2006/relationships" r:id="rId1"/>
  </tableParts>
</worksheet>
</file>

<file path=xl/worksheets/sheet11.xml><?xml version="1.0" encoding="utf-8"?>
<worksheet xmlns="http://schemas.openxmlformats.org/spreadsheetml/2006/main">
  <sheetPr>
    <tabColor rgb="0052606D"/>
    <outlinePr summaryBelow="1" summaryRight="1"/>
    <pageSetUpPr fitToPage="1"/>
  </sheetPr>
  <dimension ref="B1:E177"/>
  <sheetViews>
    <sheetView showGridLines="0" workbookViewId="0">
      <pane ySplit="3" topLeftCell="A4" activePane="bottomLeft" state="frozen"/>
      <selection pane="bottomLeft" activeCell="A1" sqref="A1"/>
    </sheetView>
  </sheetViews>
  <sheetFormatPr baseColWidth="8" defaultRowHeight="15"/>
  <cols>
    <col width="3" customWidth="1" min="1" max="1"/>
    <col width="26" customWidth="1" min="2" max="2"/>
    <col width="30" customWidth="1" min="3" max="3"/>
    <col width="78" customWidth="1" min="4" max="4"/>
    <col width="40" customWidth="1" min="5" max="5"/>
  </cols>
  <sheetData>
    <row r="1">
      <c r="B1" s="1" t="inlineStr">
        <is>
          <t>Definitions and Field Guide</t>
        </is>
      </c>
    </row>
    <row r="2">
      <c r="B2" s="2" t="inlineStr">
        <is>
          <t>What each status, tier, rating, and flag means, and what to enter in each input column.</t>
        </is>
      </c>
    </row>
    <row r="4">
      <c r="B4" s="3" t="inlineStr">
        <is>
          <t>OBJECTIVE STATUS</t>
        </is>
      </c>
      <c r="C4" s="4" t="n"/>
      <c r="D4" s="4" t="n"/>
      <c r="E4" s="4" t="n"/>
    </row>
    <row r="5">
      <c r="B5" s="14" t="inlineStr">
        <is>
          <t>Status</t>
        </is>
      </c>
      <c r="C5" s="14" t="inlineStr"/>
      <c r="D5" s="14" t="inlineStr">
        <is>
          <t>Meaning</t>
        </is>
      </c>
    </row>
    <row r="6" ht="16.5" customHeight="1">
      <c r="B6" s="15" t="inlineStr">
        <is>
          <t>Not Started</t>
        </is>
      </c>
      <c r="C6" s="16" t="inlineStr"/>
      <c r="D6" s="16" t="inlineStr">
        <is>
          <t>Work has not begun, or the start date has not arrived.</t>
        </is>
      </c>
    </row>
    <row r="7" ht="30" customHeight="1">
      <c r="B7" s="15" t="inlineStr">
        <is>
          <t>On Track</t>
        </is>
      </c>
      <c r="C7" s="16" t="inlineStr"/>
      <c r="D7" s="16" t="inlineStr">
        <is>
          <t>Milestones are on schedule and no open issue threatens the target date or outcome.</t>
        </is>
      </c>
    </row>
    <row r="8" ht="30" customHeight="1">
      <c r="B8" s="15" t="inlineStr">
        <is>
          <t>At Risk</t>
        </is>
      </c>
      <c r="C8" s="16" t="inlineStr"/>
      <c r="D8" s="16" t="inlineStr">
        <is>
          <t>A milestone is late, a dependency is unresolved, or an assumption is in doubt. The target can still be met with an adjustment or a decision.</t>
        </is>
      </c>
    </row>
    <row r="9" ht="30" customHeight="1">
      <c r="B9" s="15" t="inlineStr">
        <is>
          <t>Off Track</t>
        </is>
      </c>
      <c r="C9" s="16" t="inlineStr"/>
      <c r="D9" s="16" t="inlineStr">
        <is>
          <t>The target date or outcome will not be met without a change in scope, schedule, or a leadership decision.</t>
        </is>
      </c>
    </row>
    <row r="10" ht="16.5" customHeight="1">
      <c r="B10" s="15" t="inlineStr">
        <is>
          <t>Complete</t>
        </is>
      </c>
      <c r="C10" s="16" t="inlineStr"/>
      <c r="D10" s="16" t="inlineStr">
        <is>
          <t>The outcome occurred and the success measure was met.</t>
        </is>
      </c>
    </row>
    <row r="11" ht="30" customHeight="1">
      <c r="B11" s="15" t="inlineStr">
        <is>
          <t>Deferred</t>
        </is>
      </c>
      <c r="C11" s="16" t="inlineStr"/>
      <c r="D11" s="16" t="inlineStr">
        <is>
          <t>Leadership deliberately postponed the objective. Record who decided and when in the status note.</t>
        </is>
      </c>
    </row>
    <row r="13">
      <c r="B13" s="3" t="inlineStr">
        <is>
          <t>MILESTONES</t>
        </is>
      </c>
      <c r="C13" s="4" t="n"/>
      <c r="D13" s="4" t="n"/>
      <c r="E13" s="4" t="n"/>
    </row>
    <row r="14">
      <c r="B14" s="14" t="inlineStr">
        <is>
          <t>Term</t>
        </is>
      </c>
      <c r="C14" s="14" t="inlineStr"/>
      <c r="D14" s="14" t="inlineStr">
        <is>
          <t>Meaning</t>
        </is>
      </c>
    </row>
    <row r="15" ht="30" customHeight="1">
      <c r="B15" s="15" t="inlineStr">
        <is>
          <t>Fixed External Date</t>
        </is>
      </c>
      <c r="C15" s="16" t="inlineStr"/>
      <c r="D15" s="16" t="inlineStr">
        <is>
          <t>A date another government or body sets and you cannot move, such as a filing deadline or a hearing.</t>
        </is>
      </c>
    </row>
    <row r="16" ht="30" customHeight="1">
      <c r="B16" s="15" t="inlineStr">
        <is>
          <t>Assumed External Date</t>
        </is>
      </c>
      <c r="C16" s="16" t="inlineStr"/>
      <c r="D16" s="16" t="inlineStr">
        <is>
          <t>A date you expect another party to set but no one has confirmed. Treat as an assumption and revisit when confirmed.</t>
        </is>
      </c>
    </row>
    <row r="17" ht="16.5" customHeight="1">
      <c r="B17" s="15" t="inlineStr">
        <is>
          <t>Internal Target</t>
        </is>
      </c>
      <c r="C17" s="16" t="inlineStr"/>
      <c r="D17" s="16" t="inlineStr">
        <is>
          <t>A date you set for your own work.</t>
        </is>
      </c>
    </row>
    <row r="18" ht="16.5" customHeight="1">
      <c r="B18" s="15" t="inlineStr">
        <is>
          <t>Decision Point</t>
        </is>
      </c>
      <c r="C18" s="16" t="inlineStr"/>
      <c r="D18" s="16" t="inlineStr">
        <is>
          <t>A date by which someone must decide for the work to continue.</t>
        </is>
      </c>
    </row>
    <row r="19" ht="16.5" customHeight="1">
      <c r="B19" s="15" t="inlineStr">
        <is>
          <t>Delayed</t>
        </is>
      </c>
      <c r="C19" s="16" t="inlineStr"/>
      <c r="D19" s="16" t="inlineStr">
        <is>
          <t>Running late with a new date set in Revised Due Date.</t>
        </is>
      </c>
    </row>
    <row r="20" ht="16.5" customHeight="1">
      <c r="B20" s="15" t="inlineStr">
        <is>
          <t>Blocked</t>
        </is>
      </c>
      <c r="C20" s="16" t="inlineStr"/>
      <c r="D20" s="16" t="inlineStr">
        <is>
          <t>Cannot proceed until another party acts. Name the party in Notes.</t>
        </is>
      </c>
    </row>
    <row r="21" ht="16.5" customHeight="1">
      <c r="B21" s="15" t="inlineStr">
        <is>
          <t>Critical Path</t>
        </is>
      </c>
      <c r="C21" s="16" t="inlineStr"/>
      <c r="D21" s="16" t="inlineStr">
        <is>
          <t>Yes means a slip in this milestone moves the objective's target date.</t>
        </is>
      </c>
    </row>
    <row r="23">
      <c r="B23" s="3" t="inlineStr">
        <is>
          <t>RELATIONSHIPS</t>
        </is>
      </c>
      <c r="C23" s="4" t="n"/>
      <c r="D23" s="4" t="n"/>
      <c r="E23" s="4" t="n"/>
    </row>
    <row r="24">
      <c r="B24" s="14" t="inlineStr">
        <is>
          <t>Tier</t>
        </is>
      </c>
      <c r="C24" s="14" t="inlineStr">
        <is>
          <t>Default contact standard</t>
        </is>
      </c>
      <c r="D24" s="14" t="inlineStr">
        <is>
          <t>Meaning</t>
        </is>
      </c>
    </row>
    <row r="25" ht="30" customHeight="1">
      <c r="B25" s="15" t="inlineStr">
        <is>
          <t>Tier 1 Strategic</t>
        </is>
      </c>
      <c r="C25" s="16" t="inlineStr">
        <is>
          <t>Monthly or more often; weekly during active sessions</t>
        </is>
      </c>
      <c r="D25" s="16" t="inlineStr">
        <is>
          <t>The relationship decides whether an objective succeeds.</t>
        </is>
      </c>
    </row>
    <row r="26" ht="16.5" customHeight="1">
      <c r="B26" s="15" t="inlineStr">
        <is>
          <t>Tier 2 Priority</t>
        </is>
      </c>
      <c r="C26" s="16" t="inlineStr">
        <is>
          <t>Monthly to quarterly</t>
        </is>
      </c>
      <c r="D26" s="16" t="inlineStr">
        <is>
          <t>Important to one or more objectives, but not decisive alone.</t>
        </is>
      </c>
    </row>
    <row r="27" ht="16.5" customHeight="1">
      <c r="B27" s="15" t="inlineStr">
        <is>
          <t>Tier 3 Maintain</t>
        </is>
      </c>
      <c r="C27" s="16" t="inlineStr">
        <is>
          <t>Quarterly</t>
        </is>
      </c>
      <c r="D27" s="16" t="inlineStr">
        <is>
          <t>Useful to keep warm. Needed on specific matters.</t>
        </is>
      </c>
    </row>
    <row r="28" ht="16.5" customHeight="1">
      <c r="B28" s="15" t="inlineStr">
        <is>
          <t>Tier 4 Monitor</t>
        </is>
      </c>
      <c r="C28" s="16" t="inlineStr">
        <is>
          <t>Semiannual or as needed</t>
        </is>
      </c>
      <c r="D28" s="16" t="inlineStr">
        <is>
          <t>Watch for developments. No active engagement planned.</t>
        </is>
      </c>
    </row>
    <row r="30">
      <c r="B30" s="14" t="inlineStr">
        <is>
          <t>Posture</t>
        </is>
      </c>
      <c r="C30" s="14" t="inlineStr"/>
      <c r="D30" s="14" t="inlineStr">
        <is>
          <t>Meaning</t>
        </is>
      </c>
    </row>
    <row r="31" ht="16.5" customHeight="1">
      <c r="B31" s="15" t="inlineStr">
        <is>
          <t>Aligned</t>
        </is>
      </c>
      <c r="C31" s="16" t="inlineStr"/>
      <c r="D31" s="16" t="inlineStr">
        <is>
          <t>Shares your position on current matters.</t>
        </is>
      </c>
    </row>
    <row r="32" ht="16.5" customHeight="1">
      <c r="B32" s="15" t="inlineStr">
        <is>
          <t>Mixed</t>
        </is>
      </c>
      <c r="C32" s="16" t="inlineStr"/>
      <c r="D32" s="16" t="inlineStr">
        <is>
          <t>Aligned on some matters and divergent on others. Name both in Notes.</t>
        </is>
      </c>
    </row>
    <row r="33" ht="16.5" customHeight="1">
      <c r="B33" s="15" t="inlineStr">
        <is>
          <t>Divergent</t>
        </is>
      </c>
      <c r="C33" s="16" t="inlineStr"/>
      <c r="D33" s="16" t="inlineStr">
        <is>
          <t>Opposes your position on a matter that affects an objective.</t>
        </is>
      </c>
    </row>
    <row r="34" ht="16.5" customHeight="1">
      <c r="B34" s="15" t="inlineStr">
        <is>
          <t>Unknown</t>
        </is>
      </c>
      <c r="C34" s="16" t="inlineStr"/>
      <c r="D34" s="16" t="inlineStr">
        <is>
          <t>Not yet assessed. Treat as a gap to close, not as neutral.</t>
        </is>
      </c>
    </row>
    <row r="36">
      <c r="B36" s="14" t="inlineStr">
        <is>
          <t>Relationship Health</t>
        </is>
      </c>
      <c r="C36" s="14" t="inlineStr"/>
      <c r="D36" s="14" t="inlineStr">
        <is>
          <t>Meaning</t>
        </is>
      </c>
    </row>
    <row r="37" ht="16.5" customHeight="1">
      <c r="B37" s="15" t="inlineStr">
        <is>
          <t>Strong</t>
        </is>
      </c>
      <c r="C37" s="16" t="inlineStr"/>
      <c r="D37" s="16" t="inlineStr">
        <is>
          <t>Open channel, mutual trust, and prompt response.</t>
        </is>
      </c>
    </row>
    <row r="38" ht="16.5" customHeight="1">
      <c r="B38" s="15" t="inlineStr">
        <is>
          <t>Working</t>
        </is>
      </c>
      <c r="C38" s="16" t="inlineStr"/>
      <c r="D38" s="16" t="inlineStr">
        <is>
          <t>Functional and professional. Responsiveness varies.</t>
        </is>
      </c>
    </row>
    <row r="39" ht="16.5" customHeight="1">
      <c r="B39" s="15" t="inlineStr">
        <is>
          <t>Strained</t>
        </is>
      </c>
      <c r="C39" s="16" t="inlineStr"/>
      <c r="D39" s="16" t="inlineStr">
        <is>
          <t>Recent conflict, missed commitments, or poor responsiveness.</t>
        </is>
      </c>
    </row>
    <row r="40" ht="16.5" customHeight="1">
      <c r="B40" s="15" t="inlineStr">
        <is>
          <t>New</t>
        </is>
      </c>
      <c r="C40" s="16" t="inlineStr"/>
      <c r="D40" s="16" t="inlineStr">
        <is>
          <t>No track record yet.</t>
        </is>
      </c>
    </row>
    <row r="41" ht="16.5" customHeight="1">
      <c r="B41" s="15" t="inlineStr">
        <is>
          <t>Dormant</t>
        </is>
      </c>
      <c r="C41" s="16" t="inlineStr"/>
      <c r="D41" s="16" t="inlineStr">
        <is>
          <t>No active relationship.</t>
        </is>
      </c>
    </row>
    <row r="43">
      <c r="B43" s="14" t="inlineStr">
        <is>
          <t>Contact Status (calculated)</t>
        </is>
      </c>
      <c r="C43" s="14" t="inlineStr"/>
      <c r="D43" s="14" t="inlineStr">
        <is>
          <t>Meaning</t>
        </is>
      </c>
    </row>
    <row r="44" ht="16.5" customHeight="1">
      <c r="B44" s="15" t="inlineStr">
        <is>
          <t>Current</t>
        </is>
      </c>
      <c r="C44" s="16" t="inlineStr"/>
      <c r="D44" s="16" t="inlineStr">
        <is>
          <t>Days since the last completed contact are within 75 percent of the cadence.</t>
        </is>
      </c>
    </row>
    <row r="45" ht="16.5" customHeight="1">
      <c r="B45" s="15" t="inlineStr">
        <is>
          <t>Due Soon</t>
        </is>
      </c>
      <c r="C45" s="16" t="inlineStr"/>
      <c r="D45" s="16" t="inlineStr">
        <is>
          <t>Between 75 and 100 percent of the cadence has passed.</t>
        </is>
      </c>
    </row>
    <row r="46" ht="16.5" customHeight="1">
      <c r="B46" s="15" t="inlineStr">
        <is>
          <t>Overdue</t>
        </is>
      </c>
      <c r="C46" s="16" t="inlineStr"/>
      <c r="D46" s="16" t="inlineStr">
        <is>
          <t>More days have passed than the cadence allows.</t>
        </is>
      </c>
    </row>
    <row r="47" ht="16.5" customHeight="1">
      <c r="B47" s="15" t="inlineStr">
        <is>
          <t>No Contact Logged</t>
        </is>
      </c>
      <c r="C47" s="16" t="inlineStr"/>
      <c r="D47" s="16" t="inlineStr">
        <is>
          <t>No completed, non-internal action is linked to this relationship.</t>
        </is>
      </c>
    </row>
    <row r="48" ht="16.5" customHeight="1">
      <c r="B48" s="15" t="inlineStr">
        <is>
          <t>As Needed</t>
        </is>
      </c>
      <c r="C48" s="16" t="inlineStr"/>
      <c r="D48" s="16" t="inlineStr">
        <is>
          <t>Cadence is As Needed, so no clock runs.</t>
        </is>
      </c>
    </row>
    <row r="49" ht="30" customHeight="1">
      <c r="B49" s="15" t="inlineStr">
        <is>
          <t>Last Contact</t>
        </is>
      </c>
      <c r="C49" s="16" t="inlineStr"/>
      <c r="D49" s="16" t="inlineStr">
        <is>
          <t>The latest date of a Complete action linked to the Relationship ID. Internal Clearance actions are excluded.</t>
        </is>
      </c>
    </row>
    <row r="51">
      <c r="B51" s="3" t="inlineStr">
        <is>
          <t>PRIORITIES</t>
        </is>
      </c>
      <c r="C51" s="4" t="n"/>
      <c r="D51" s="4" t="n"/>
      <c r="E51" s="4" t="n"/>
    </row>
    <row r="52">
      <c r="B52" s="14" t="inlineStr">
        <is>
          <t>Term</t>
        </is>
      </c>
      <c r="C52" s="14" t="inlineStr"/>
      <c r="D52" s="14" t="inlineStr">
        <is>
          <t>Meaning</t>
        </is>
      </c>
    </row>
    <row r="53" ht="30" customHeight="1">
      <c r="B53" s="15" t="inlineStr">
        <is>
          <t>Track</t>
        </is>
      </c>
      <c r="C53" s="16" t="inlineStr"/>
      <c r="D53" s="16" t="inlineStr">
        <is>
          <t>Legislative means action by a legislative body. Administrative means action by an agency, executive, or other decision-maker outside a legislature.</t>
        </is>
      </c>
    </row>
    <row r="54" ht="30" customHeight="1">
      <c r="B54" s="15" t="inlineStr">
        <is>
          <t>Our Position</t>
        </is>
      </c>
      <c r="C54" s="16" t="inlineStr"/>
      <c r="D54" s="16" t="inlineStr">
        <is>
          <t>Support, Oppose, Amend (support only if changed), Seek (you are asking for a result), Monitor (watch only), Undecided (no cleared position yet).</t>
        </is>
      </c>
    </row>
    <row r="55" ht="30" customHeight="1">
      <c r="B55" s="15" t="inlineStr">
        <is>
          <t>Clearance</t>
        </is>
      </c>
      <c r="C55" s="16" t="inlineStr"/>
      <c r="D55" s="16" t="inlineStr">
        <is>
          <t>Whether the position has cleared your internal process. Monitor items do not need clearance.</t>
        </is>
      </c>
    </row>
    <row r="56" ht="16.5" customHeight="1">
      <c r="B56" s="15" t="inlineStr">
        <is>
          <t>Open</t>
        </is>
      </c>
      <c r="C56" s="16" t="inlineStr"/>
      <c r="D56" s="16" t="inlineStr">
        <is>
          <t>1 unless the stage is Resolved Favorable, Resolved Unfavorable, or Inactive.</t>
        </is>
      </c>
    </row>
    <row r="57" ht="30" customHeight="1">
      <c r="B57" s="15" t="inlineStr">
        <is>
          <t>Attention (calculated)</t>
        </is>
      </c>
      <c r="C57" s="16" t="inlineStr"/>
      <c r="D57" s="16" t="inlineStr">
        <is>
          <t>Clearance Needed: an open item with a position other than Monitor that is not Cleared. Key Date Within 14 Days or Key Date Passed: based on Next Key Date.</t>
        </is>
      </c>
    </row>
    <row r="59">
      <c r="B59" s="3" t="inlineStr">
        <is>
          <t>RISKS</t>
        </is>
      </c>
      <c r="C59" s="4" t="n"/>
      <c r="D59" s="4" t="n"/>
      <c r="E59" s="4" t="n"/>
    </row>
    <row r="60">
      <c r="B60" s="14" t="inlineStr">
        <is>
          <t>Term</t>
        </is>
      </c>
      <c r="C60" s="14" t="inlineStr"/>
      <c r="D60" s="14" t="inlineStr">
        <is>
          <t>Meaning</t>
        </is>
      </c>
    </row>
    <row r="61" ht="16.5" customHeight="1">
      <c r="B61" s="15" t="inlineStr">
        <is>
          <t>Likelihood and Impact</t>
        </is>
      </c>
      <c r="C61" s="16" t="inlineStr"/>
      <c r="D61" s="16" t="inlineStr">
        <is>
          <t>Low scores 1, Moderate 2, High 3.</t>
        </is>
      </c>
    </row>
    <row r="62" ht="30" customHeight="1">
      <c r="B62" s="15" t="inlineStr">
        <is>
          <t>Exposure (calculated)</t>
        </is>
      </c>
      <c r="C62" s="16" t="inlineStr"/>
      <c r="D62" s="16" t="inlineStr">
        <is>
          <t>Likelihood score multiplied by Impact score. Possible values are 1, 2, 3, 4, 6, and 9.</t>
        </is>
      </c>
    </row>
    <row r="63" ht="30" customHeight="1">
      <c r="B63" s="15" t="inlineStr">
        <is>
          <t>Rating (calculated)</t>
        </is>
      </c>
      <c r="C63" s="16" t="inlineStr"/>
      <c r="D63" s="16" t="inlineStr">
        <is>
          <t>High for exposure of 6 or more, Moderate for 3 or 4, Low for 1 or 2. A sorting aid to focus review time, not a measure of performance.</t>
        </is>
      </c>
    </row>
    <row r="64" ht="30" customHeight="1">
      <c r="B64" s="15" t="inlineStr">
        <is>
          <t>Review Flag (calculated)</t>
        </is>
      </c>
      <c r="C64" s="16" t="inlineStr"/>
      <c r="D64" s="16" t="inlineStr">
        <is>
          <t>Review Overdue when the last review is older than the risk review interval on the Instructions sheet. Never Reviewed when no review date is entered.</t>
        </is>
      </c>
    </row>
    <row r="65" ht="30" customHeight="1">
      <c r="B65" s="15" t="inlineStr">
        <is>
          <t>Escalation Level</t>
        </is>
      </c>
      <c r="C65" s="16" t="inlineStr"/>
      <c r="D65" s="16" t="inlineStr">
        <is>
          <t>The highest level this risk has been raised to. Log each escalation on the Escalations sheet.</t>
        </is>
      </c>
    </row>
    <row r="67">
      <c r="B67" s="3" t="inlineStr">
        <is>
          <t>CALCULATED FLAGS</t>
        </is>
      </c>
      <c r="C67" s="4" t="n"/>
      <c r="D67" s="4" t="n"/>
      <c r="E67" s="4" t="n"/>
    </row>
    <row r="68">
      <c r="B68" s="14" t="inlineStr">
        <is>
          <t>Flag</t>
        </is>
      </c>
      <c r="C68" s="14" t="inlineStr">
        <is>
          <t>Where</t>
        </is>
      </c>
      <c r="D68" s="14" t="inlineStr">
        <is>
          <t>Meaning</t>
        </is>
      </c>
    </row>
    <row r="69" ht="16.5" customHeight="1">
      <c r="B69" s="15" t="inlineStr">
        <is>
          <t>Overdue</t>
        </is>
      </c>
      <c r="C69" s="16" t="inlineStr">
        <is>
          <t>Milestones</t>
        </is>
      </c>
      <c r="D69" s="16" t="inlineStr">
        <is>
          <t>Not complete and the effective due date is before the report date.</t>
        </is>
      </c>
    </row>
    <row r="70" ht="16.5" customHeight="1">
      <c r="B70" s="15" t="inlineStr">
        <is>
          <t>Due Within 14 Days</t>
        </is>
      </c>
      <c r="C70" s="16" t="inlineStr">
        <is>
          <t>Milestones</t>
        </is>
      </c>
      <c r="D70" s="16" t="inlineStr">
        <is>
          <t>Not complete and due within 14 days of the report date.</t>
        </is>
      </c>
    </row>
    <row r="71" ht="30" customHeight="1">
      <c r="B71" s="15" t="inlineStr">
        <is>
          <t>Completed Late</t>
        </is>
      </c>
      <c r="C71" s="16" t="inlineStr">
        <is>
          <t>Milestones</t>
        </is>
      </c>
      <c r="D71" s="16" t="inlineStr">
        <is>
          <t>Completed after the effective due date. A milestone moved with Revised Due Date is judged against the revised date.</t>
        </is>
      </c>
    </row>
    <row r="72" ht="16.5" customHeight="1">
      <c r="B72" s="15" t="inlineStr">
        <is>
          <t>Overdue</t>
        </is>
      </c>
      <c r="C72" s="16" t="inlineStr">
        <is>
          <t>Actions</t>
        </is>
      </c>
      <c r="D72" s="16" t="inlineStr">
        <is>
          <t>Planned or In Progress with a date before the report date.</t>
        </is>
      </c>
    </row>
    <row r="73" ht="16.5" customHeight="1">
      <c r="B73" s="15" t="inlineStr">
        <is>
          <t>Past Due</t>
        </is>
      </c>
      <c r="C73" s="16" t="inlineStr">
        <is>
          <t>Escalations</t>
        </is>
      </c>
      <c r="D73" s="16" t="inlineStr">
        <is>
          <t>No resolution date and the response date has passed.</t>
        </is>
      </c>
    </row>
    <row r="74" ht="30" customHeight="1">
      <c r="B74" s="15" t="inlineStr">
        <is>
          <t>Improved, Declined, Unchanged</t>
        </is>
      </c>
      <c r="C74" s="16" t="inlineStr">
        <is>
          <t>Quarterly Review</t>
        </is>
      </c>
      <c r="D74" s="16" t="inlineStr">
        <is>
          <t>Compares status with the prior quarter using this order: Off Track, At Risk, On Track, Complete.</t>
        </is>
      </c>
    </row>
    <row r="75" ht="30" customHeight="1">
      <c r="B75" s="15" t="inlineStr">
        <is>
          <t>Percent Complete</t>
        </is>
      </c>
      <c r="C75" s="16" t="inlineStr">
        <is>
          <t>Objectives</t>
        </is>
      </c>
      <c r="D75" s="16" t="inlineStr">
        <is>
          <t>Completed milestones divided by all milestones linked to the objective. It measures schedule progress, not whether the outcome will occur.</t>
        </is>
      </c>
    </row>
    <row r="77">
      <c r="B77" s="3" t="inlineStr">
        <is>
          <t>FIELD GUIDE: WHAT TO ENTER IN EACH INPUT COLUMN</t>
        </is>
      </c>
      <c r="C77" s="4" t="n"/>
      <c r="D77" s="4" t="n"/>
      <c r="E77" s="4" t="n"/>
    </row>
    <row r="78">
      <c r="B78" s="14" t="inlineStr">
        <is>
          <t>Sheet and column</t>
        </is>
      </c>
      <c r="C78" s="14" t="inlineStr">
        <is>
          <t>Example</t>
        </is>
      </c>
      <c r="D78" s="14" t="inlineStr">
        <is>
          <t>What to enter</t>
        </is>
      </c>
    </row>
    <row r="79" ht="30" customHeight="1">
      <c r="B79" s="16" t="inlineStr">
        <is>
          <t>Objectives: ID</t>
        </is>
      </c>
      <c r="C79" s="16" t="inlineStr">
        <is>
          <t>OBJ-1</t>
        </is>
      </c>
      <c r="D79" s="16" t="inlineStr">
        <is>
          <t>Short unique code. Every other sheet picks from these IDs, so enter objectives first.</t>
        </is>
      </c>
    </row>
    <row r="80" ht="43.5" customHeight="1">
      <c r="B80" s="16" t="inlineStr">
        <is>
          <t>Objectives: Objective</t>
        </is>
      </c>
      <c r="C80" s="16" t="inlineStr">
        <is>
          <t>Obtain a funding commitment from a partner government for a priority project</t>
        </is>
      </c>
      <c r="D80" s="16" t="inlineStr">
        <is>
          <t>One sentence naming the result, not the activity.</t>
        </is>
      </c>
    </row>
    <row r="81" ht="16.5" customHeight="1">
      <c r="B81" s="16" t="inlineStr">
        <is>
          <t>Objectives: Type</t>
        </is>
      </c>
      <c r="C81" s="16" t="inlineStr">
        <is>
          <t>Legislative</t>
        </is>
      </c>
      <c r="D81" s="16" t="inlineStr">
        <is>
          <t>The kind of work that dominates the objective.</t>
        </is>
      </c>
    </row>
    <row r="82" ht="43.5" customHeight="1">
      <c r="B82" s="16" t="inlineStr">
        <is>
          <t>Objectives: Intended Outcome</t>
        </is>
      </c>
      <c r="C82" s="16" t="inlineStr">
        <is>
          <t>The partner government commits funds in writing before the application deadline.</t>
        </is>
      </c>
      <c r="D82" s="16" t="inlineStr">
        <is>
          <t>The end state a person outside your office could verify.</t>
        </is>
      </c>
    </row>
    <row r="83" ht="30" customHeight="1">
      <c r="B83" s="16" t="inlineStr">
        <is>
          <t>Objectives: Success Measure</t>
        </is>
      </c>
      <c r="C83" s="16" t="inlineStr">
        <is>
          <t>Written funding commitment on file</t>
        </is>
      </c>
      <c r="D83" s="16" t="inlineStr">
        <is>
          <t>What you will check to decide whether the outcome occurred.</t>
        </is>
      </c>
    </row>
    <row r="84" ht="16.5" customHeight="1">
      <c r="B84" s="16" t="inlineStr">
        <is>
          <t>Objectives: Baseline</t>
        </is>
      </c>
      <c r="C84" s="16" t="inlineStr">
        <is>
          <t>No commitment today</t>
        </is>
      </c>
      <c r="D84" s="16" t="inlineStr">
        <is>
          <t>Where things stand when the plan year starts.</t>
        </is>
      </c>
    </row>
    <row r="85" ht="30" customHeight="1">
      <c r="B85" s="16" t="inlineStr">
        <is>
          <t>Objectives: Target</t>
        </is>
      </c>
      <c r="C85" s="16" t="inlineStr">
        <is>
          <t>Commitment received by the application deadline</t>
        </is>
      </c>
      <c r="D85" s="16" t="inlineStr">
        <is>
          <t>The result and date that count as success.</t>
        </is>
      </c>
    </row>
    <row r="86" ht="30" customHeight="1">
      <c r="B86" s="16" t="inlineStr">
        <is>
          <t>Objectives: Executive Priority</t>
        </is>
      </c>
      <c r="C86" s="16" t="inlineStr">
        <is>
          <t>EP-1</t>
        </is>
      </c>
      <c r="D86" s="16" t="inlineStr">
        <is>
          <t>The leadership priority this objective serves, using the ID from the plan.</t>
        </is>
      </c>
    </row>
    <row r="87" ht="16.5" customHeight="1">
      <c r="B87" s="16" t="inlineStr">
        <is>
          <t>Objectives: Lead</t>
        </is>
      </c>
      <c r="C87" s="16" t="inlineStr">
        <is>
          <t>Name</t>
        </is>
      </c>
      <c r="D87" s="16" t="inlineStr">
        <is>
          <t>One accountable person.</t>
        </is>
      </c>
    </row>
    <row r="88" ht="16.5" customHeight="1">
      <c r="B88" s="16" t="inlineStr">
        <is>
          <t>Objectives: Support</t>
        </is>
      </c>
      <c r="C88" s="16" t="inlineStr">
        <is>
          <t>Name</t>
        </is>
      </c>
      <c r="D88" s="16" t="inlineStr">
        <is>
          <t>Other people who carry part of the work.</t>
        </is>
      </c>
    </row>
    <row r="89" ht="16.5" customHeight="1">
      <c r="B89" s="16" t="inlineStr">
        <is>
          <t>Objectives: Start Date</t>
        </is>
      </c>
      <c r="C89" s="16" t="inlineStr">
        <is>
          <t>Jan 4, 2027</t>
        </is>
      </c>
      <c r="D89" s="16" t="inlineStr">
        <is>
          <t>When work begins.</t>
        </is>
      </c>
    </row>
    <row r="90" ht="16.5" customHeight="1">
      <c r="B90" s="16" t="inlineStr">
        <is>
          <t>Objectives: Target Date</t>
        </is>
      </c>
      <c r="C90" s="16" t="inlineStr">
        <is>
          <t>May 28, 2027</t>
        </is>
      </c>
      <c r="D90" s="16" t="inlineStr">
        <is>
          <t>When the outcome is due.</t>
        </is>
      </c>
    </row>
    <row r="91" ht="16.5" customHeight="1">
      <c r="B91" s="16" t="inlineStr">
        <is>
          <t>Objectives: Status</t>
        </is>
      </c>
      <c r="C91" s="16" t="inlineStr">
        <is>
          <t>On Track</t>
        </is>
      </c>
      <c r="D91" s="16" t="inlineStr">
        <is>
          <t>Your judgment as of the last review. See Definitions.</t>
        </is>
      </c>
    </row>
    <row r="92" ht="30" customHeight="1">
      <c r="B92" s="16" t="inlineStr">
        <is>
          <t>Objectives: Status Note</t>
        </is>
      </c>
      <c r="C92" s="16" t="inlineStr">
        <is>
          <t>One or two sentences leadership should know now.</t>
        </is>
      </c>
      <c r="D92" s="16" t="inlineStr">
        <is>
          <t>One or two sentences leadership should know now.</t>
        </is>
      </c>
    </row>
    <row r="93" ht="16.5" customHeight="1">
      <c r="B93" s="16" t="inlineStr">
        <is>
          <t>Relationships: ID</t>
        </is>
      </c>
      <c r="C93" s="16" t="inlineStr">
        <is>
          <t>REL-01</t>
        </is>
      </c>
      <c r="D93" s="16" t="inlineStr">
        <is>
          <t>Short unique code.</t>
        </is>
      </c>
    </row>
    <row r="94" ht="30" customHeight="1">
      <c r="B94" s="16" t="inlineStr">
        <is>
          <t>Relationships: Government or Institution</t>
        </is>
      </c>
      <c r="C94" s="16" t="inlineStr">
        <is>
          <t>State department of transportation</t>
        </is>
      </c>
      <c r="D94" s="16" t="inlineStr">
        <is>
          <t>The institution, not an individual.</t>
        </is>
      </c>
    </row>
    <row r="95" ht="16.5" customHeight="1">
      <c r="B95" s="16" t="inlineStr">
        <is>
          <t>Relationships: Level</t>
        </is>
      </c>
      <c r="C95" s="16" t="inlineStr">
        <is>
          <t>State</t>
        </is>
      </c>
      <c r="D95" s="16" t="inlineStr">
        <is>
          <t>Level of government.</t>
        </is>
      </c>
    </row>
    <row r="96" ht="16.5" customHeight="1">
      <c r="B96" s="16" t="inlineStr">
        <is>
          <t>Relationships: Key Contact</t>
        </is>
      </c>
      <c r="C96" s="16" t="inlineStr">
        <is>
          <t>Name or title</t>
        </is>
      </c>
      <c r="D96" s="16" t="inlineStr">
        <is>
          <t>Primary counterpart. Use a title if the name is not confirmed.</t>
        </is>
      </c>
    </row>
    <row r="97" ht="30" customHeight="1">
      <c r="B97" s="16" t="inlineStr">
        <is>
          <t>Relationships: Contact Title</t>
        </is>
      </c>
      <c r="C97" s="16" t="inlineStr">
        <is>
          <t>Program director</t>
        </is>
      </c>
      <c r="D97" s="16" t="inlineStr">
        <is>
          <t>Counterpart's position.</t>
        </is>
      </c>
    </row>
    <row r="98" ht="16.5" customHeight="1">
      <c r="B98" s="16" t="inlineStr">
        <is>
          <t>Relationships: Our Lead</t>
        </is>
      </c>
      <c r="C98" s="16" t="inlineStr">
        <is>
          <t>Name</t>
        </is>
      </c>
      <c r="D98" s="16" t="inlineStr">
        <is>
          <t>The one person who owns the relationship on our side.</t>
        </is>
      </c>
    </row>
    <row r="99" ht="16.5" customHeight="1">
      <c r="B99" s="16" t="inlineStr">
        <is>
          <t>Relationships: Tier</t>
        </is>
      </c>
      <c r="C99" s="16" t="inlineStr">
        <is>
          <t>Tier 1 Strategic</t>
        </is>
      </c>
      <c r="D99" s="16" t="inlineStr">
        <is>
          <t>Where relationship effort goes. See Definitions.</t>
        </is>
      </c>
    </row>
    <row r="100" ht="16.5" customHeight="1">
      <c r="B100" s="16" t="inlineStr">
        <is>
          <t>Relationships: Posture</t>
        </is>
      </c>
      <c r="C100" s="16" t="inlineStr">
        <is>
          <t>Aligned</t>
        </is>
      </c>
      <c r="D100" s="16" t="inlineStr">
        <is>
          <t>Their position on our current agenda.</t>
        </is>
      </c>
    </row>
    <row r="101" ht="30" customHeight="1">
      <c r="B101" s="16" t="inlineStr">
        <is>
          <t>Relationships: Relationship Health</t>
        </is>
      </c>
      <c r="C101" s="16" t="inlineStr">
        <is>
          <t>Working</t>
        </is>
      </c>
      <c r="D101" s="16" t="inlineStr">
        <is>
          <t>The quality of the working relationship, separate from agreement on issues.</t>
        </is>
      </c>
    </row>
    <row r="102" ht="30" customHeight="1">
      <c r="B102" s="16" t="inlineStr">
        <is>
          <t>Relationships: What They Need From Us</t>
        </is>
      </c>
      <c r="C102" s="16" t="inlineStr">
        <is>
          <t>A signed agreement and a formal funding request</t>
        </is>
      </c>
      <c r="D102" s="16" t="inlineStr">
        <is>
          <t>Their interests and requirements, stated from their side.</t>
        </is>
      </c>
    </row>
    <row r="103" ht="43.5" customHeight="1">
      <c r="B103" s="16" t="inlineStr">
        <is>
          <t>Relationships: What We Need From Them</t>
        </is>
      </c>
      <c r="C103" s="16" t="inlineStr">
        <is>
          <t>Written funding commitment before the application is finalized</t>
        </is>
      </c>
      <c r="D103" s="16" t="inlineStr">
        <is>
          <t>The specific ask, tied to an objective.</t>
        </is>
      </c>
    </row>
    <row r="104" ht="30" customHeight="1">
      <c r="B104" s="16" t="inlineStr">
        <is>
          <t>Relationships: Objective ID</t>
        </is>
      </c>
      <c r="C104" s="16" t="inlineStr">
        <is>
          <t>OBJ-3</t>
        </is>
      </c>
      <c r="D104" s="16" t="inlineStr">
        <is>
          <t>The objective this relationship matters most to.</t>
        </is>
      </c>
    </row>
    <row r="105" ht="16.5" customHeight="1">
      <c r="B105" s="16" t="inlineStr">
        <is>
          <t>Relationships: Cadence</t>
        </is>
      </c>
      <c r="C105" s="16" t="inlineStr">
        <is>
          <t>Monthly</t>
        </is>
      </c>
      <c r="D105" s="16" t="inlineStr">
        <is>
          <t>How often you should be in contact. Drives the contact status.</t>
        </is>
      </c>
    </row>
    <row r="106" ht="30" customHeight="1">
      <c r="B106" s="16" t="inlineStr">
        <is>
          <t>Relationships: Notes</t>
        </is>
      </c>
      <c r="C106" s="16" t="inlineStr">
        <is>
          <t>Context a successor would need.</t>
        </is>
      </c>
      <c r="D106" s="16" t="inlineStr">
        <is>
          <t>Context a successor would need.</t>
        </is>
      </c>
    </row>
    <row r="107" ht="30" customHeight="1">
      <c r="B107" s="16" t="inlineStr">
        <is>
          <t>Priorities: ID</t>
        </is>
      </c>
      <c r="C107" s="16" t="inlineStr">
        <is>
          <t>LEG-01</t>
        </is>
      </c>
      <c r="D107" s="16" t="inlineStr">
        <is>
          <t>Short unique code. LEG for legislative, ADM for administrative is a useful habit.</t>
        </is>
      </c>
    </row>
    <row r="108" ht="30" customHeight="1">
      <c r="B108" s="16" t="inlineStr">
        <is>
          <t>Priorities: Track</t>
        </is>
      </c>
      <c r="C108" s="16" t="inlineStr">
        <is>
          <t>Legislative</t>
        </is>
      </c>
      <c r="D108" s="16" t="inlineStr">
        <is>
          <t>Legislative: action by a legislative body. Administrative: action by an agency or executive body.</t>
        </is>
      </c>
    </row>
    <row r="109" ht="16.5" customHeight="1">
      <c r="B109" s="16" t="inlineStr">
        <is>
          <t>Priorities: Item Type</t>
        </is>
      </c>
      <c r="C109" s="16" t="inlineStr">
        <is>
          <t>Bill</t>
        </is>
      </c>
      <c r="D109" s="16" t="inlineStr">
        <is>
          <t>The kind of matter.</t>
        </is>
      </c>
    </row>
    <row r="110" ht="30" customHeight="1">
      <c r="B110" s="16" t="inlineStr">
        <is>
          <t>Priorities: Measure or Matter</t>
        </is>
      </c>
      <c r="C110" s="16" t="inlineStr">
        <is>
          <t>HB 100, Local Funding Authorization</t>
        </is>
      </c>
      <c r="D110" s="16" t="inlineStr">
        <is>
          <t>Bill number and short title, rule docket, grant round, or agreement.</t>
        </is>
      </c>
    </row>
    <row r="111" ht="16.5" customHeight="1">
      <c r="B111" s="16" t="inlineStr">
        <is>
          <t>Priorities: Body or Agency</t>
        </is>
      </c>
      <c r="C111" s="16" t="inlineStr">
        <is>
          <t>State legislature</t>
        </is>
      </c>
      <c r="D111" s="16" t="inlineStr">
        <is>
          <t>Who decides.</t>
        </is>
      </c>
    </row>
    <row r="112" ht="16.5" customHeight="1">
      <c r="B112" s="16" t="inlineStr">
        <is>
          <t>Priorities: Level</t>
        </is>
      </c>
      <c r="C112" s="16" t="inlineStr">
        <is>
          <t>State</t>
        </is>
      </c>
      <c r="D112" s="16" t="inlineStr">
        <is>
          <t>Level of government that decides.</t>
        </is>
      </c>
    </row>
    <row r="113" ht="16.5" customHeight="1">
      <c r="B113" s="16" t="inlineStr">
        <is>
          <t>Priorities: Our Position</t>
        </is>
      </c>
      <c r="C113" s="16" t="inlineStr">
        <is>
          <t>Support</t>
        </is>
      </c>
      <c r="D113" s="16" t="inlineStr">
        <is>
          <t>Position as cleared. Use Undecided until leadership clears one.</t>
        </is>
      </c>
    </row>
    <row r="114" ht="16.5" customHeight="1">
      <c r="B114" s="16" t="inlineStr">
        <is>
          <t>Priorities: Objective ID</t>
        </is>
      </c>
      <c r="C114" s="16" t="inlineStr">
        <is>
          <t>OBJ-1</t>
        </is>
      </c>
      <c r="D114" s="16" t="inlineStr">
        <is>
          <t>The objective this item serves.</t>
        </is>
      </c>
    </row>
    <row r="115" ht="16.5" customHeight="1">
      <c r="B115" s="16" t="inlineStr">
        <is>
          <t>Priorities: Lead</t>
        </is>
      </c>
      <c r="C115" s="16" t="inlineStr">
        <is>
          <t>Name</t>
        </is>
      </c>
      <c r="D115" s="16" t="inlineStr">
        <is>
          <t>One accountable person.</t>
        </is>
      </c>
    </row>
    <row r="116" ht="30" customHeight="1">
      <c r="B116" s="16" t="inlineStr">
        <is>
          <t>Priorities: Stage</t>
        </is>
      </c>
      <c r="C116" s="16" t="inlineStr">
        <is>
          <t>Active Consideration</t>
        </is>
      </c>
      <c r="D116" s="16" t="inlineStr">
        <is>
          <t>Where the matter stands. Resolved or Inactive items drop out of the open counts.</t>
        </is>
      </c>
    </row>
    <row r="117" ht="16.5" customHeight="1">
      <c r="B117" s="16" t="inlineStr">
        <is>
          <t>Priorities: Clearance</t>
        </is>
      </c>
      <c r="C117" s="16" t="inlineStr">
        <is>
          <t>Cleared</t>
        </is>
      </c>
      <c r="D117" s="16" t="inlineStr">
        <is>
          <t>Whether the position has cleared your internal process.</t>
        </is>
      </c>
    </row>
    <row r="118" ht="16.5" customHeight="1">
      <c r="B118" s="16" t="inlineStr">
        <is>
          <t>Priorities: Next Key Date</t>
        </is>
      </c>
      <c r="C118" s="16" t="inlineStr">
        <is>
          <t>Apr 14, 2027</t>
        </is>
      </c>
      <c r="D118" s="16" t="inlineStr">
        <is>
          <t>The next date that changes what you must do.</t>
        </is>
      </c>
    </row>
    <row r="119" ht="30" customHeight="1">
      <c r="B119" s="16" t="inlineStr">
        <is>
          <t>Priorities: Key Date Description</t>
        </is>
      </c>
      <c r="C119" s="16" t="inlineStr">
        <is>
          <t>Committee vote</t>
        </is>
      </c>
      <c r="D119" s="16" t="inlineStr">
        <is>
          <t>What happens on that date.</t>
        </is>
      </c>
    </row>
    <row r="120" ht="43.5" customHeight="1">
      <c r="B120" s="16" t="inlineStr">
        <is>
          <t>Priorities: Desired Outcome</t>
        </is>
      </c>
      <c r="C120" s="16" t="inlineStr">
        <is>
          <t>Enactment with the authority and terms the objective requires</t>
        </is>
      </c>
      <c r="D120" s="16" t="inlineStr">
        <is>
          <t>What a good result looks like, specific enough to judge.</t>
        </is>
      </c>
    </row>
    <row r="121" ht="30" customHeight="1">
      <c r="B121" s="16" t="inlineStr">
        <is>
          <t>Priorities: Notes</t>
        </is>
      </c>
      <c r="C121" s="16" t="inlineStr">
        <is>
          <t>Competing interests, conditions, and links to other items.</t>
        </is>
      </c>
      <c r="D121" s="16" t="inlineStr">
        <is>
          <t>Competing interests, conditions, and links to other items.</t>
        </is>
      </c>
    </row>
    <row r="122" ht="16.5" customHeight="1">
      <c r="B122" s="16" t="inlineStr">
        <is>
          <t>Actions: ID</t>
        </is>
      </c>
      <c r="C122" s="16" t="inlineStr">
        <is>
          <t>ACT-001</t>
        </is>
      </c>
      <c r="D122" s="16" t="inlineStr">
        <is>
          <t>Short unique code.</t>
        </is>
      </c>
    </row>
    <row r="123" ht="16.5" customHeight="1">
      <c r="B123" s="16" t="inlineStr">
        <is>
          <t>Actions: Date</t>
        </is>
      </c>
      <c r="C123" s="16" t="inlineStr">
        <is>
          <t>Mar 8, 2027</t>
        </is>
      </c>
      <c r="D123" s="16" t="inlineStr">
        <is>
          <t>Actual date for completed actions. Planned date for upcoming ones.</t>
        </is>
      </c>
    </row>
    <row r="124" ht="30" customHeight="1">
      <c r="B124" s="16" t="inlineStr">
        <is>
          <t>Actions: Action Type</t>
        </is>
      </c>
      <c r="C124" s="16" t="inlineStr">
        <is>
          <t>Meeting</t>
        </is>
      </c>
      <c r="D124" s="16" t="inlineStr">
        <is>
          <t>Internal Clearance is internal work and does not count as contact with another government.</t>
        </is>
      </c>
    </row>
    <row r="125" ht="30" customHeight="1">
      <c r="B125" s="16" t="inlineStr">
        <is>
          <t>Actions: Description</t>
        </is>
      </c>
      <c r="C125" s="16" t="inlineStr">
        <is>
          <t>Meet agency program staff on the funding commitment</t>
        </is>
      </c>
      <c r="D125" s="16" t="inlineStr">
        <is>
          <t>What was or will be done, with whom.</t>
        </is>
      </c>
    </row>
    <row r="126" ht="16.5" customHeight="1">
      <c r="B126" s="16" t="inlineStr">
        <is>
          <t>Actions: Objective ID</t>
        </is>
      </c>
      <c r="C126" s="16" t="inlineStr">
        <is>
          <t>OBJ-3</t>
        </is>
      </c>
      <c r="D126" s="16" t="inlineStr">
        <is>
          <t>The objective served.</t>
        </is>
      </c>
    </row>
    <row r="127" ht="16.5" customHeight="1">
      <c r="B127" s="16" t="inlineStr">
        <is>
          <t>Actions: Relationship ID</t>
        </is>
      </c>
      <c r="C127" s="16" t="inlineStr">
        <is>
          <t>REL-05</t>
        </is>
      </c>
      <c r="D127" s="16" t="inlineStr">
        <is>
          <t>The government or institution involved. Leave blank for internal work.</t>
        </is>
      </c>
    </row>
    <row r="128" ht="16.5" customHeight="1">
      <c r="B128" s="16" t="inlineStr">
        <is>
          <t>Actions: Priority ID</t>
        </is>
      </c>
      <c r="C128" s="16" t="inlineStr">
        <is>
          <t>ADM-02</t>
        </is>
      </c>
      <c r="D128" s="16" t="inlineStr">
        <is>
          <t>The legislative or administrative item involved, if any.</t>
        </is>
      </c>
    </row>
    <row r="129" ht="16.5" customHeight="1">
      <c r="B129" s="16" t="inlineStr">
        <is>
          <t>Actions: Owner</t>
        </is>
      </c>
      <c r="C129" s="16" t="inlineStr">
        <is>
          <t>Name</t>
        </is>
      </c>
      <c r="D129" s="16" t="inlineStr">
        <is>
          <t>Who does it.</t>
        </is>
      </c>
    </row>
    <row r="130" ht="16.5" customHeight="1">
      <c r="B130" s="16" t="inlineStr">
        <is>
          <t>Actions: Status</t>
        </is>
      </c>
      <c r="C130" s="16" t="inlineStr">
        <is>
          <t>Complete</t>
        </is>
      </c>
      <c r="D130" s="16" t="inlineStr">
        <is>
          <t>Planned, In Progress, Complete, Deferred, or Cancelled.</t>
        </is>
      </c>
    </row>
    <row r="131" ht="30" customHeight="1">
      <c r="B131" s="16" t="inlineStr">
        <is>
          <t>Actions: Outcome or Result</t>
        </is>
      </c>
      <c r="C131" s="16" t="inlineStr">
        <is>
          <t>What changed as a result of the meeting.</t>
        </is>
      </c>
      <c r="D131" s="16" t="inlineStr">
        <is>
          <t>What happened and what changed, not a description of the meeting.</t>
        </is>
      </c>
    </row>
    <row r="132" ht="30" customHeight="1">
      <c r="B132" s="16" t="inlineStr">
        <is>
          <t>Actions: Next Step</t>
        </is>
      </c>
      <c r="C132" s="16" t="inlineStr">
        <is>
          <t>Send the agreement timeline to agency staff</t>
        </is>
      </c>
      <c r="D132" s="16" t="inlineStr">
        <is>
          <t>The single next action this created. Log it as its own Planned row.</t>
        </is>
      </c>
    </row>
    <row r="133" ht="16.5" customHeight="1">
      <c r="B133" s="16" t="inlineStr">
        <is>
          <t>Milestones: ID</t>
        </is>
      </c>
      <c r="C133" s="16" t="inlineStr">
        <is>
          <t>MS-001</t>
        </is>
      </c>
      <c r="D133" s="16" t="inlineStr">
        <is>
          <t>Short unique code.</t>
        </is>
      </c>
    </row>
    <row r="134" ht="30" customHeight="1">
      <c r="B134" s="16" t="inlineStr">
        <is>
          <t>Milestones: Milestone</t>
        </is>
      </c>
      <c r="C134" s="16" t="inlineStr">
        <is>
          <t>Written funding commitment received</t>
        </is>
      </c>
      <c r="D134" s="16" t="inlineStr">
        <is>
          <t>A dated result, not an activity. Something is either done or it is not.</t>
        </is>
      </c>
    </row>
    <row r="135" ht="16.5" customHeight="1">
      <c r="B135" s="16" t="inlineStr">
        <is>
          <t>Milestones: Objective ID</t>
        </is>
      </c>
      <c r="C135" s="16" t="inlineStr">
        <is>
          <t>OBJ-3</t>
        </is>
      </c>
      <c r="D135" s="16" t="inlineStr">
        <is>
          <t>The objective served.</t>
        </is>
      </c>
    </row>
    <row r="136" ht="30" customHeight="1">
      <c r="B136" s="16" t="inlineStr">
        <is>
          <t>Milestones: Type</t>
        </is>
      </c>
      <c r="C136" s="16" t="inlineStr">
        <is>
          <t>Internal Target</t>
        </is>
      </c>
      <c r="D136" s="16" t="inlineStr">
        <is>
          <t>Fixed and Assumed external dates are set by others. Internal targets are yours.</t>
        </is>
      </c>
    </row>
    <row r="137" ht="16.5" customHeight="1">
      <c r="B137" s="16" t="inlineStr">
        <is>
          <t>Milestones: Owner</t>
        </is>
      </c>
      <c r="C137" s="16" t="inlineStr">
        <is>
          <t>Name</t>
        </is>
      </c>
      <c r="D137" s="16" t="inlineStr">
        <is>
          <t>One accountable person.</t>
        </is>
      </c>
    </row>
    <row r="138" ht="16.5" customHeight="1">
      <c r="B138" s="16" t="inlineStr">
        <is>
          <t>Milestones: Due Date</t>
        </is>
      </c>
      <c r="C138" s="16" t="inlineStr">
        <is>
          <t>Jul 30, 2027</t>
        </is>
      </c>
      <c r="D138" s="16" t="inlineStr">
        <is>
          <t>The original date. Do not overwrite it when the date moves.</t>
        </is>
      </c>
    </row>
    <row r="139" ht="30" customHeight="1">
      <c r="B139" s="16" t="inlineStr">
        <is>
          <t>Milestones: Revised Due Date</t>
        </is>
      </c>
      <c r="C139" s="16" t="inlineStr"/>
      <c r="D139" s="16" t="inlineStr">
        <is>
          <t>Enter a new date here when the schedule moves. The original stays visible.</t>
        </is>
      </c>
    </row>
    <row r="140" ht="16.5" customHeight="1">
      <c r="B140" s="16" t="inlineStr">
        <is>
          <t>Milestones: Status</t>
        </is>
      </c>
      <c r="C140" s="16" t="inlineStr">
        <is>
          <t>Not Started</t>
        </is>
      </c>
      <c r="D140" s="16" t="inlineStr">
        <is>
          <t>Not Started, In Progress, Complete, Delayed, or Blocked.</t>
        </is>
      </c>
    </row>
    <row r="141" ht="16.5" customHeight="1">
      <c r="B141" s="16" t="inlineStr">
        <is>
          <t>Milestones: Completed Date</t>
        </is>
      </c>
      <c r="C141" s="16" t="inlineStr"/>
      <c r="D141" s="16" t="inlineStr">
        <is>
          <t>Enter when status is Complete.</t>
        </is>
      </c>
    </row>
    <row r="142" ht="16.5" customHeight="1">
      <c r="B142" s="16" t="inlineStr">
        <is>
          <t>Milestones: Depends On</t>
        </is>
      </c>
      <c r="C142" s="16" t="inlineStr">
        <is>
          <t>MS-028</t>
        </is>
      </c>
      <c r="D142" s="16" t="inlineStr">
        <is>
          <t>The milestone that must finish first, if any.</t>
        </is>
      </c>
    </row>
    <row r="143" ht="16.5" customHeight="1">
      <c r="B143" s="16" t="inlineStr">
        <is>
          <t>Milestones: Critical Path</t>
        </is>
      </c>
      <c r="C143" s="16" t="inlineStr">
        <is>
          <t>Yes</t>
        </is>
      </c>
      <c r="D143" s="16" t="inlineStr">
        <is>
          <t>Yes if a slip here moves the objective's target date.</t>
        </is>
      </c>
    </row>
    <row r="144" ht="30" customHeight="1">
      <c r="B144" s="16" t="inlineStr">
        <is>
          <t>Milestones: Notes</t>
        </is>
      </c>
      <c r="C144" s="16" t="inlineStr">
        <is>
          <t>Blockers, assumptions, or what the date depends on.</t>
        </is>
      </c>
      <c r="D144" s="16" t="inlineStr">
        <is>
          <t>Blockers, assumptions, or what the date depends on.</t>
        </is>
      </c>
    </row>
    <row r="145" ht="16.5" customHeight="1">
      <c r="B145" s="16" t="inlineStr">
        <is>
          <t>Risks: ID</t>
        </is>
      </c>
      <c r="C145" s="16" t="inlineStr">
        <is>
          <t>RSK-01</t>
        </is>
      </c>
      <c r="D145" s="16" t="inlineStr">
        <is>
          <t>Short unique code.</t>
        </is>
      </c>
    </row>
    <row r="146" ht="57" customHeight="1">
      <c r="B146" s="16" t="inlineStr">
        <is>
          <t>Risks: Risk Statement</t>
        </is>
      </c>
      <c r="C146" s="16" t="inlineStr">
        <is>
          <t>The bill fails or is amended to remove the authority, leaving the objective without a funding source.</t>
        </is>
      </c>
      <c r="D146" s="16" t="inlineStr">
        <is>
          <t>Cause, event, and effect in one or two sentences.</t>
        </is>
      </c>
    </row>
    <row r="147" ht="16.5" customHeight="1">
      <c r="B147" s="16" t="inlineStr">
        <is>
          <t>Risks: Category</t>
        </is>
      </c>
      <c r="C147" s="16" t="inlineStr">
        <is>
          <t>Legislative</t>
        </is>
      </c>
      <c r="D147" s="16" t="inlineStr">
        <is>
          <t>The kind of risk.</t>
        </is>
      </c>
    </row>
    <row r="148" ht="16.5" customHeight="1">
      <c r="B148" s="16" t="inlineStr">
        <is>
          <t>Risks: Objective ID</t>
        </is>
      </c>
      <c r="C148" s="16" t="inlineStr">
        <is>
          <t>OBJ-1</t>
        </is>
      </c>
      <c r="D148" s="16" t="inlineStr">
        <is>
          <t>The objective at risk.</t>
        </is>
      </c>
    </row>
    <row r="149" ht="16.5" customHeight="1">
      <c r="B149" s="16" t="inlineStr">
        <is>
          <t>Risks: Likelihood</t>
        </is>
      </c>
      <c r="C149" s="16" t="inlineStr">
        <is>
          <t>Moderate</t>
        </is>
      </c>
      <c r="D149" s="16" t="inlineStr">
        <is>
          <t>Your judgment over the plan year.</t>
        </is>
      </c>
    </row>
    <row r="150" ht="16.5" customHeight="1">
      <c r="B150" s="16" t="inlineStr">
        <is>
          <t>Risks: Impact</t>
        </is>
      </c>
      <c r="C150" s="16" t="inlineStr">
        <is>
          <t>High</t>
        </is>
      </c>
      <c r="D150" s="16" t="inlineStr">
        <is>
          <t>Effect on the objective if the risk occurs.</t>
        </is>
      </c>
    </row>
    <row r="151" ht="43.5" customHeight="1">
      <c r="B151" s="16" t="inlineStr">
        <is>
          <t>Risks: Early Warning Indicator</t>
        </is>
      </c>
      <c r="C151" s="16" t="inlineStr">
        <is>
          <t>Hearing not noticed, or amendments filed by an opposing member.</t>
        </is>
      </c>
      <c r="D151" s="16" t="inlineStr">
        <is>
          <t>An observable sign the risk is becoming real.</t>
        </is>
      </c>
    </row>
    <row r="152" ht="43.5" customHeight="1">
      <c r="B152" s="16" t="inlineStr">
        <is>
          <t>Risks: Mitigation or Contingency</t>
        </is>
      </c>
      <c r="C152" s="16" t="inlineStr">
        <is>
          <t>Weekly vote count. Prepare an alternate funding scenario in parallel.</t>
        </is>
      </c>
      <c r="D152" s="16" t="inlineStr">
        <is>
          <t>What you do now and what you do if it happens.</t>
        </is>
      </c>
    </row>
    <row r="153" ht="16.5" customHeight="1">
      <c r="B153" s="16" t="inlineStr">
        <is>
          <t>Risks: Owner</t>
        </is>
      </c>
      <c r="C153" s="16" t="inlineStr">
        <is>
          <t>Name</t>
        </is>
      </c>
      <c r="D153" s="16" t="inlineStr">
        <is>
          <t>Who watches the indicator and acts.</t>
        </is>
      </c>
    </row>
    <row r="154" ht="16.5" customHeight="1">
      <c r="B154" s="16" t="inlineStr">
        <is>
          <t>Risks: Status</t>
        </is>
      </c>
      <c r="C154" s="16" t="inlineStr">
        <is>
          <t>Mitigating</t>
        </is>
      </c>
      <c r="D154" s="16" t="inlineStr">
        <is>
          <t>Open, Mitigating, Escalated, Realized, or Closed.</t>
        </is>
      </c>
    </row>
    <row r="155" ht="16.5" customHeight="1">
      <c r="B155" s="16" t="inlineStr">
        <is>
          <t>Risks: Escalation Level</t>
        </is>
      </c>
      <c r="C155" s="16" t="inlineStr">
        <is>
          <t>None</t>
        </is>
      </c>
      <c r="D155" s="16" t="inlineStr">
        <is>
          <t>Highest level this risk has been raised to.</t>
        </is>
      </c>
    </row>
    <row r="156" ht="16.5" customHeight="1">
      <c r="B156" s="16" t="inlineStr">
        <is>
          <t>Risks: Date Identified</t>
        </is>
      </c>
      <c r="C156" s="16" t="inlineStr">
        <is>
          <t>Dec 14, 2026</t>
        </is>
      </c>
      <c r="D156" s="16" t="inlineStr">
        <is>
          <t>When it entered the register.</t>
        </is>
      </c>
    </row>
    <row r="157" ht="16.5" customHeight="1">
      <c r="B157" s="16" t="inlineStr">
        <is>
          <t>Risks: Last Reviewed</t>
        </is>
      </c>
      <c r="C157" s="16" t="inlineStr">
        <is>
          <t>Apr 5, 2027</t>
        </is>
      </c>
      <c r="D157" s="16" t="inlineStr">
        <is>
          <t>Update at each review, even if nothing changed.</t>
        </is>
      </c>
    </row>
    <row r="158" ht="16.5" customHeight="1">
      <c r="B158" s="16" t="inlineStr">
        <is>
          <t>Escalations: ID</t>
        </is>
      </c>
      <c r="C158" s="16" t="inlineStr">
        <is>
          <t>ESC-01</t>
        </is>
      </c>
      <c r="D158" s="16" t="inlineStr">
        <is>
          <t>Short unique code.</t>
        </is>
      </c>
    </row>
    <row r="159" ht="16.5" customHeight="1">
      <c r="B159" s="16" t="inlineStr">
        <is>
          <t>Escalations: Date Raised</t>
        </is>
      </c>
      <c r="C159" s="16" t="inlineStr">
        <is>
          <t>Mar 18, 2027</t>
        </is>
      </c>
      <c r="D159" s="16" t="inlineStr">
        <is>
          <t>When it went to the decision-maker.</t>
        </is>
      </c>
    </row>
    <row r="160" ht="16.5" customHeight="1">
      <c r="B160" s="16" t="inlineStr">
        <is>
          <t>Escalations: Risk ID</t>
        </is>
      </c>
      <c r="C160" s="16" t="inlineStr">
        <is>
          <t>RSK-04</t>
        </is>
      </c>
      <c r="D160" s="16" t="inlineStr">
        <is>
          <t>The risk this relates to, if any.</t>
        </is>
      </c>
    </row>
    <row r="161" ht="16.5" customHeight="1">
      <c r="B161" s="16" t="inlineStr">
        <is>
          <t>Escalations: Objective ID</t>
        </is>
      </c>
      <c r="C161" s="16" t="inlineStr">
        <is>
          <t>OBJ-4</t>
        </is>
      </c>
      <c r="D161" s="16" t="inlineStr">
        <is>
          <t>The objective affected.</t>
        </is>
      </c>
    </row>
    <row r="162" ht="30" customHeight="1">
      <c r="B162" s="16" t="inlineStr">
        <is>
          <t>Escalations: Issue</t>
        </is>
      </c>
      <c r="C162" s="16" t="inlineStr">
        <is>
          <t>Two partner governments are deadlocked on cost allocation.</t>
        </is>
      </c>
      <c r="D162" s="16" t="inlineStr">
        <is>
          <t>What happened and why it cannot be resolved at your level.</t>
        </is>
      </c>
    </row>
    <row r="163" ht="16.5" customHeight="1">
      <c r="B163" s="16" t="inlineStr">
        <is>
          <t>Escalations: Escalated To</t>
        </is>
      </c>
      <c r="C163" s="16" t="inlineStr">
        <is>
          <t>Executive Sponsor</t>
        </is>
      </c>
      <c r="D163" s="16" t="inlineStr">
        <is>
          <t>Who must decide.</t>
        </is>
      </c>
    </row>
    <row r="164" ht="16.5" customHeight="1">
      <c r="B164" s="16" t="inlineStr">
        <is>
          <t>Escalations: Raised By</t>
        </is>
      </c>
      <c r="C164" s="16" t="inlineStr">
        <is>
          <t>Name</t>
        </is>
      </c>
      <c r="D164" s="16" t="inlineStr">
        <is>
          <t>Who brought it forward.</t>
        </is>
      </c>
    </row>
    <row r="165" ht="30" customHeight="1">
      <c r="B165" s="16" t="inlineStr">
        <is>
          <t>Escalations: Decision or Direction Requested</t>
        </is>
      </c>
      <c r="C165" s="16" t="inlineStr">
        <is>
          <t>Authorize a negotiating range for our share.</t>
        </is>
      </c>
      <c r="D165" s="16" t="inlineStr">
        <is>
          <t>The specific decision. A request with no decision attached is a status update.</t>
        </is>
      </c>
    </row>
    <row r="166" ht="16.5" customHeight="1">
      <c r="B166" s="16" t="inlineStr">
        <is>
          <t>Escalations: Response Due</t>
        </is>
      </c>
      <c r="C166" s="16" t="inlineStr">
        <is>
          <t>Apr 2, 2027</t>
        </is>
      </c>
      <c r="D166" s="16" t="inlineStr">
        <is>
          <t>The date you need an answer to protect a milestone.</t>
        </is>
      </c>
    </row>
    <row r="167" ht="16.5" customHeight="1">
      <c r="B167" s="16" t="inlineStr">
        <is>
          <t>Escalations: Date Resolved</t>
        </is>
      </c>
      <c r="C167" s="16" t="inlineStr">
        <is>
          <t>Apr 1, 2027</t>
        </is>
      </c>
      <c r="D167" s="16" t="inlineStr">
        <is>
          <t>Enter when the decision is received.</t>
        </is>
      </c>
    </row>
    <row r="168" ht="30" customHeight="1">
      <c r="B168" s="16" t="inlineStr">
        <is>
          <t>Escalations: Decision Made</t>
        </is>
      </c>
      <c r="C168" s="16" t="inlineStr">
        <is>
          <t>What was decided, by whom, with any conditions.</t>
        </is>
      </c>
      <c r="D168" s="16" t="inlineStr">
        <is>
          <t>What was decided, by whom, with any conditions.</t>
        </is>
      </c>
    </row>
    <row r="169" ht="16.5" customHeight="1">
      <c r="B169" s="16" t="inlineStr">
        <is>
          <t>Quarterly Review: Quarter</t>
        </is>
      </c>
      <c r="C169" s="16" t="inlineStr">
        <is>
          <t>Q1</t>
        </is>
      </c>
      <c r="D169" s="16" t="inlineStr">
        <is>
          <t>Plan quarter being reviewed.</t>
        </is>
      </c>
    </row>
    <row r="170" ht="30" customHeight="1">
      <c r="B170" s="16" t="inlineStr">
        <is>
          <t>Quarterly Review: Objective ID</t>
        </is>
      </c>
      <c r="C170" s="16" t="inlineStr">
        <is>
          <t>OBJ-3</t>
        </is>
      </c>
      <c r="D170" s="16" t="inlineStr">
        <is>
          <t>One row per objective per quarter.</t>
        </is>
      </c>
    </row>
    <row r="171" ht="30" customHeight="1">
      <c r="B171" s="16" t="inlineStr">
        <is>
          <t>Quarterly Review: Review Date</t>
        </is>
      </c>
      <c r="C171" s="16" t="inlineStr">
        <is>
          <t>Apr 6, 2027</t>
        </is>
      </c>
      <c r="D171" s="16" t="inlineStr">
        <is>
          <t>Date of the review meeting.</t>
        </is>
      </c>
    </row>
    <row r="172" ht="16.5" customHeight="1">
      <c r="B172" s="16" t="inlineStr">
        <is>
          <t>Quarterly Review: Status</t>
        </is>
      </c>
      <c r="C172" s="16" t="inlineStr">
        <is>
          <t>At Risk</t>
        </is>
      </c>
      <c r="D172" s="16" t="inlineStr">
        <is>
          <t>Status as agreed at the review. Update the Objectives sheet to match.</t>
        </is>
      </c>
    </row>
    <row r="173" ht="30" customHeight="1">
      <c r="B173" s="16" t="inlineStr">
        <is>
          <t>Quarterly Review: Evidence of Progress</t>
        </is>
      </c>
      <c r="C173" s="16" t="inlineStr">
        <is>
          <t>Events, decisions, and documents that support the status.</t>
        </is>
      </c>
      <c r="D173" s="16" t="inlineStr">
        <is>
          <t>Facts that support the status: events, decisions, documents.</t>
        </is>
      </c>
    </row>
    <row r="174" ht="30" customHeight="1">
      <c r="B174" s="16" t="inlineStr">
        <is>
          <t>Quarterly Review: Variance and Cause</t>
        </is>
      </c>
      <c r="C174" s="16" t="inlineStr">
        <is>
          <t>Where actual differs from plan, and why.</t>
        </is>
      </c>
      <c r="D174" s="16" t="inlineStr">
        <is>
          <t>Where actual differs from plan and why.</t>
        </is>
      </c>
    </row>
    <row r="175" ht="30" customHeight="1">
      <c r="B175" s="16" t="inlineStr">
        <is>
          <t>Quarterly Review: Adjustment Made</t>
        </is>
      </c>
      <c r="C175" s="16" t="inlineStr">
        <is>
          <t>What changed in the plan as a result.</t>
        </is>
      </c>
      <c r="D175" s="16" t="inlineStr">
        <is>
          <t>What changed in the plan as a result. Record it in the plan as well.</t>
        </is>
      </c>
    </row>
    <row r="176" ht="30" customHeight="1">
      <c r="B176" s="16" t="inlineStr">
        <is>
          <t>Quarterly Review: Leadership Decision Needed</t>
        </is>
      </c>
      <c r="C176" s="16" t="inlineStr">
        <is>
          <t>A decision with a date, or None.</t>
        </is>
      </c>
      <c r="D176" s="16" t="inlineStr">
        <is>
          <t>A decision with a date, or None.</t>
        </is>
      </c>
    </row>
    <row r="177" ht="30" customHeight="1">
      <c r="B177" s="16" t="inlineStr">
        <is>
          <t>Quarterly Review: Reviewed By</t>
        </is>
      </c>
      <c r="C177" s="16" t="inlineStr">
        <is>
          <t>Names of attendees</t>
        </is>
      </c>
      <c r="D177" s="16" t="inlineStr">
        <is>
          <t>Who attended.</t>
        </is>
      </c>
    </row>
  </sheetData>
  <pageMargins left="0.75" right="0.75" top="1" bottom="1" header="0.5" footer="0.5"/>
  <pageSetup orientation="landscape" fitToHeight="0" fitToWidth="1"/>
</worksheet>
</file>

<file path=xl/worksheets/sheet12.xml><?xml version="1.0" encoding="utf-8"?>
<worksheet xmlns="http://schemas.openxmlformats.org/spreadsheetml/2006/main">
  <sheetPr>
    <tabColor rgb="0052606D"/>
    <outlinePr summaryBelow="1" summaryRight="1"/>
    <pageSetUpPr fitToPage="1"/>
  </sheetPr>
  <dimension ref="A1:Z67"/>
  <sheetViews>
    <sheetView showGridLines="0" workbookViewId="0">
      <pane ySplit="5" topLeftCell="A6" activePane="bottomLeft" state="frozen"/>
      <selection pane="bottomLeft" activeCell="A1" sqref="A1"/>
    </sheetView>
  </sheetViews>
  <sheetFormatPr baseColWidth="8" defaultRowHeight="15"/>
  <cols>
    <col width="30" customWidth="1" min="1" max="1"/>
    <col width="15" customWidth="1" min="2" max="2"/>
    <col width="19" customWidth="1" min="3" max="3"/>
    <col width="19" customWidth="1" min="4" max="4"/>
    <col width="14" customWidth="1" min="5" max="5"/>
    <col width="14" customWidth="1" min="6" max="6"/>
    <col width="17" customWidth="1" min="7" max="7"/>
    <col width="21" customWidth="1" min="8" max="8"/>
    <col width="14" customWidth="1" min="9" max="9"/>
    <col width="23" customWidth="1" min="10" max="10"/>
    <col width="16" customWidth="1" min="11" max="11"/>
    <col width="25" customWidth="1" min="12" max="12"/>
    <col width="18" customWidth="1" min="13" max="13"/>
    <col width="24" customWidth="1" min="14" max="14"/>
    <col width="14" customWidth="1" min="15" max="15"/>
    <col width="14" customWidth="1" min="16" max="16"/>
    <col width="17" customWidth="1" min="17" max="17"/>
    <col width="14" customWidth="1" min="18" max="18"/>
    <col width="16" customWidth="1" min="19" max="19"/>
    <col width="20" customWidth="1" min="20" max="20"/>
    <col width="20" customWidth="1" min="21" max="21"/>
    <col width="14" customWidth="1" min="22" max="22"/>
    <col width="16" customWidth="1" min="23" max="23"/>
    <col width="14" customWidth="1" min="24" max="24"/>
    <col width="16" customWidth="1" min="25" max="25"/>
    <col width="24" customWidth="1" min="26" max="26"/>
  </cols>
  <sheetData>
    <row r="1">
      <c r="A1" s="45" t="inlineStr">
        <is>
          <t>Lists</t>
        </is>
      </c>
    </row>
    <row r="2">
      <c r="A2" s="2" t="inlineStr">
        <is>
          <t>Dropdown choices used across the workbook. Edit wording here to match your organization. Keep the order of the status rank list.</t>
        </is>
      </c>
    </row>
    <row r="3">
      <c r="A3" s="18" t="inlineStr">
        <is>
          <t>Do not delete or rename a column header. Change a list item only if no rows use the old value, or update those rows to match.</t>
        </is>
      </c>
    </row>
    <row r="5">
      <c r="A5" s="61" t="inlineStr">
        <is>
          <t>lstObjType</t>
        </is>
      </c>
      <c r="B5" s="61" t="inlineStr">
        <is>
          <t>lstObjStatus</t>
        </is>
      </c>
      <c r="C5" s="61" t="inlineStr">
        <is>
          <t>lstLevel</t>
        </is>
      </c>
      <c r="D5" s="61" t="inlineStr">
        <is>
          <t>lstTier</t>
        </is>
      </c>
      <c r="E5" s="61" t="inlineStr">
        <is>
          <t>lstPosture</t>
        </is>
      </c>
      <c r="F5" s="61" t="inlineStr">
        <is>
          <t>lstHealth</t>
        </is>
      </c>
      <c r="G5" s="61" t="inlineStr">
        <is>
          <t>lstTrack</t>
        </is>
      </c>
      <c r="H5" s="61" t="inlineStr">
        <is>
          <t>lstItemType</t>
        </is>
      </c>
      <c r="I5" s="61" t="inlineStr">
        <is>
          <t>lstPosition</t>
        </is>
      </c>
      <c r="J5" s="61" t="inlineStr">
        <is>
          <t>lstStage</t>
        </is>
      </c>
      <c r="K5" s="61" t="inlineStr">
        <is>
          <t>lstClearance</t>
        </is>
      </c>
      <c r="L5" s="61" t="inlineStr">
        <is>
          <t>lstActionType</t>
        </is>
      </c>
      <c r="M5" s="61" t="inlineStr">
        <is>
          <t>lstActionStatus</t>
        </is>
      </c>
      <c r="N5" s="61" t="inlineStr">
        <is>
          <t>lstMsType</t>
        </is>
      </c>
      <c r="O5" s="61" t="inlineStr">
        <is>
          <t>lstMsStatus</t>
        </is>
      </c>
      <c r="P5" s="61" t="inlineStr">
        <is>
          <t>lstYesNo</t>
        </is>
      </c>
      <c r="Q5" s="61" t="inlineStr">
        <is>
          <t>lstRiskCat</t>
        </is>
      </c>
      <c r="R5" s="61" t="inlineStr">
        <is>
          <t>lstLevel3</t>
        </is>
      </c>
      <c r="S5" s="61" t="inlineStr">
        <is>
          <t>lstRiskStatus</t>
        </is>
      </c>
      <c r="T5" s="61" t="inlineStr">
        <is>
          <t>lstEscLevel</t>
        </is>
      </c>
      <c r="U5" s="61" t="inlineStr">
        <is>
          <t>lstEscTo</t>
        </is>
      </c>
      <c r="V5" s="61" t="inlineStr">
        <is>
          <t>lstQuarter</t>
        </is>
      </c>
      <c r="W5" s="61" t="inlineStr">
        <is>
          <t>lstStatusRank</t>
        </is>
      </c>
      <c r="X5" s="3" t="inlineStr">
        <is>
          <t>lstCadence</t>
        </is>
      </c>
      <c r="Y5" s="3" t="inlineStr">
        <is>
          <t>lstCadenceDays</t>
        </is>
      </c>
      <c r="Z5" s="3" t="inlineStr">
        <is>
          <t>People</t>
        </is>
      </c>
    </row>
    <row r="6">
      <c r="A6" s="62" t="inlineStr">
        <is>
          <t>Legislative</t>
        </is>
      </c>
      <c r="B6" s="62" t="inlineStr">
        <is>
          <t>Not Started</t>
        </is>
      </c>
      <c r="C6" s="62" t="inlineStr">
        <is>
          <t>Federal</t>
        </is>
      </c>
      <c r="D6" s="62" t="inlineStr">
        <is>
          <t>Tier 1 Strategic</t>
        </is>
      </c>
      <c r="E6" s="62" t="inlineStr">
        <is>
          <t>Aligned</t>
        </is>
      </c>
      <c r="F6" s="62" t="inlineStr">
        <is>
          <t>Strong</t>
        </is>
      </c>
      <c r="G6" s="62" t="inlineStr">
        <is>
          <t>Legislative</t>
        </is>
      </c>
      <c r="H6" s="62" t="inlineStr">
        <is>
          <t>Bill</t>
        </is>
      </c>
      <c r="I6" s="62" t="inlineStr">
        <is>
          <t>Support</t>
        </is>
      </c>
      <c r="J6" s="62" t="inlineStr">
        <is>
          <t>Developing</t>
        </is>
      </c>
      <c r="K6" s="62" t="inlineStr">
        <is>
          <t>Not Submitted</t>
        </is>
      </c>
      <c r="L6" s="62" t="inlineStr">
        <is>
          <t>Meeting</t>
        </is>
      </c>
      <c r="M6" s="62" t="inlineStr">
        <is>
          <t>Planned</t>
        </is>
      </c>
      <c r="N6" s="62" t="inlineStr">
        <is>
          <t>Fixed External Date</t>
        </is>
      </c>
      <c r="O6" s="62" t="inlineStr">
        <is>
          <t>Not Started</t>
        </is>
      </c>
      <c r="P6" s="62" t="inlineStr">
        <is>
          <t>Yes</t>
        </is>
      </c>
      <c r="Q6" s="62" t="inlineStr">
        <is>
          <t>Legislative</t>
        </is>
      </c>
      <c r="R6" s="62" t="inlineStr">
        <is>
          <t>Low</t>
        </is>
      </c>
      <c r="S6" s="62" t="inlineStr">
        <is>
          <t>Open</t>
        </is>
      </c>
      <c r="T6" s="62" t="inlineStr">
        <is>
          <t>None</t>
        </is>
      </c>
      <c r="U6" s="62" t="inlineStr">
        <is>
          <t>Office Director</t>
        </is>
      </c>
      <c r="V6" s="62" t="inlineStr">
        <is>
          <t>Q1</t>
        </is>
      </c>
      <c r="W6" s="62" t="inlineStr">
        <is>
          <t>Off Track</t>
        </is>
      </c>
      <c r="X6" s="62" t="inlineStr">
        <is>
          <t>Weekly</t>
        </is>
      </c>
      <c r="Y6" s="43" t="n">
        <v>7</v>
      </c>
      <c r="Z6" s="62" t="n"/>
    </row>
    <row r="7">
      <c r="A7" s="62" t="inlineStr">
        <is>
          <t>Administrative</t>
        </is>
      </c>
      <c r="B7" s="62" t="inlineStr">
        <is>
          <t>On Track</t>
        </is>
      </c>
      <c r="C7" s="62" t="inlineStr">
        <is>
          <t>State</t>
        </is>
      </c>
      <c r="D7" s="62" t="inlineStr">
        <is>
          <t>Tier 2 Priority</t>
        </is>
      </c>
      <c r="E7" s="62" t="inlineStr">
        <is>
          <t>Mixed</t>
        </is>
      </c>
      <c r="F7" s="62" t="inlineStr">
        <is>
          <t>Working</t>
        </is>
      </c>
      <c r="G7" s="62" t="inlineStr">
        <is>
          <t>Administrative</t>
        </is>
      </c>
      <c r="H7" s="62" t="inlineStr">
        <is>
          <t>Budget Item</t>
        </is>
      </c>
      <c r="I7" s="62" t="inlineStr">
        <is>
          <t>Oppose</t>
        </is>
      </c>
      <c r="J7" s="62" t="inlineStr">
        <is>
          <t>Pending Action</t>
        </is>
      </c>
      <c r="K7" s="62" t="inlineStr">
        <is>
          <t>In Review</t>
        </is>
      </c>
      <c r="L7" s="62" t="inlineStr">
        <is>
          <t>Briefing</t>
        </is>
      </c>
      <c r="M7" s="62" t="inlineStr">
        <is>
          <t>In Progress</t>
        </is>
      </c>
      <c r="N7" s="62" t="inlineStr">
        <is>
          <t>Assumed External Date</t>
        </is>
      </c>
      <c r="O7" s="62" t="inlineStr">
        <is>
          <t>In Progress</t>
        </is>
      </c>
      <c r="P7" s="62" t="inlineStr">
        <is>
          <t>No</t>
        </is>
      </c>
      <c r="Q7" s="62" t="inlineStr">
        <is>
          <t>Administrative</t>
        </is>
      </c>
      <c r="R7" s="62" t="inlineStr">
        <is>
          <t>Moderate</t>
        </is>
      </c>
      <c r="S7" s="62" t="inlineStr">
        <is>
          <t>Mitigating</t>
        </is>
      </c>
      <c r="T7" s="62" t="inlineStr">
        <is>
          <t>Office Director</t>
        </is>
      </c>
      <c r="U7" s="62" t="inlineStr">
        <is>
          <t>Executive Sponsor</t>
        </is>
      </c>
      <c r="V7" s="62" t="inlineStr">
        <is>
          <t>Q2</t>
        </is>
      </c>
      <c r="W7" s="62" t="inlineStr">
        <is>
          <t>At Risk</t>
        </is>
      </c>
      <c r="X7" s="62" t="inlineStr">
        <is>
          <t>Biweekly</t>
        </is>
      </c>
      <c r="Y7" s="43" t="n">
        <v>14</v>
      </c>
      <c r="Z7" s="62" t="n"/>
    </row>
    <row r="8">
      <c r="A8" s="62" t="inlineStr">
        <is>
          <t>Relationship</t>
        </is>
      </c>
      <c r="B8" s="62" t="inlineStr">
        <is>
          <t>At Risk</t>
        </is>
      </c>
      <c r="C8" s="62" t="inlineStr">
        <is>
          <t>Tribal</t>
        </is>
      </c>
      <c r="D8" s="62" t="inlineStr">
        <is>
          <t>Tier 3 Maintain</t>
        </is>
      </c>
      <c r="E8" s="62" t="inlineStr">
        <is>
          <t>Divergent</t>
        </is>
      </c>
      <c r="F8" s="62" t="inlineStr">
        <is>
          <t>Strained</t>
        </is>
      </c>
      <c r="H8" s="62" t="inlineStr">
        <is>
          <t>Rulemaking</t>
        </is>
      </c>
      <c r="I8" s="62" t="inlineStr">
        <is>
          <t>Amend</t>
        </is>
      </c>
      <c r="J8" s="62" t="inlineStr">
        <is>
          <t>Active Consideration</t>
        </is>
      </c>
      <c r="K8" s="62" t="inlineStr">
        <is>
          <t>Cleared</t>
        </is>
      </c>
      <c r="L8" s="62" t="inlineStr">
        <is>
          <t>Testimony or Comment</t>
        </is>
      </c>
      <c r="M8" s="62" t="inlineStr">
        <is>
          <t>Complete</t>
        </is>
      </c>
      <c r="N8" s="62" t="inlineStr">
        <is>
          <t>Internal Target</t>
        </is>
      </c>
      <c r="O8" s="62" t="inlineStr">
        <is>
          <t>Complete</t>
        </is>
      </c>
      <c r="Q8" s="62" t="inlineStr">
        <is>
          <t>Relationship</t>
        </is>
      </c>
      <c r="R8" s="62" t="inlineStr">
        <is>
          <t>High</t>
        </is>
      </c>
      <c r="S8" s="62" t="inlineStr">
        <is>
          <t>Escalated</t>
        </is>
      </c>
      <c r="T8" s="62" t="inlineStr">
        <is>
          <t>Executive Sponsor</t>
        </is>
      </c>
      <c r="U8" s="62" t="inlineStr">
        <is>
          <t>Chief Executive</t>
        </is>
      </c>
      <c r="V8" s="62" t="inlineStr">
        <is>
          <t>Q3</t>
        </is>
      </c>
      <c r="W8" s="62" t="inlineStr">
        <is>
          <t>On Track</t>
        </is>
      </c>
      <c r="X8" s="62" t="inlineStr">
        <is>
          <t>Monthly</t>
        </is>
      </c>
      <c r="Y8" s="43" t="n">
        <v>30</v>
      </c>
      <c r="Z8" s="62" t="n"/>
    </row>
    <row r="9">
      <c r="A9" s="62" t="inlineStr">
        <is>
          <t>Intergovernmental Agreement</t>
        </is>
      </c>
      <c r="B9" s="62" t="inlineStr">
        <is>
          <t>Off Track</t>
        </is>
      </c>
      <c r="C9" s="62" t="inlineStr">
        <is>
          <t>Regional</t>
        </is>
      </c>
      <c r="D9" s="62" t="inlineStr">
        <is>
          <t>Tier 4 Monitor</t>
        </is>
      </c>
      <c r="E9" s="62" t="inlineStr">
        <is>
          <t>Unknown</t>
        </is>
      </c>
      <c r="F9" s="62" t="inlineStr">
        <is>
          <t>New</t>
        </is>
      </c>
      <c r="H9" s="62" t="inlineStr">
        <is>
          <t>Grant or Funding</t>
        </is>
      </c>
      <c r="I9" s="62" t="inlineStr">
        <is>
          <t>Seek</t>
        </is>
      </c>
      <c r="J9" s="62" t="inlineStr">
        <is>
          <t>Final Action Pending</t>
        </is>
      </c>
      <c r="K9" s="62" t="inlineStr">
        <is>
          <t>On Hold</t>
        </is>
      </c>
      <c r="L9" s="62" t="inlineStr">
        <is>
          <t>Written Submission</t>
        </is>
      </c>
      <c r="M9" s="62" t="inlineStr">
        <is>
          <t>Deferred</t>
        </is>
      </c>
      <c r="N9" s="62" t="inlineStr">
        <is>
          <t>Decision Point</t>
        </is>
      </c>
      <c r="O9" s="62" t="inlineStr">
        <is>
          <t>Delayed</t>
        </is>
      </c>
      <c r="Q9" s="62" t="inlineStr">
        <is>
          <t>Fiscal</t>
        </is>
      </c>
      <c r="S9" s="62" t="inlineStr">
        <is>
          <t>Realized</t>
        </is>
      </c>
      <c r="T9" s="62" t="inlineStr">
        <is>
          <t>Chief Executive</t>
        </is>
      </c>
      <c r="U9" s="62" t="inlineStr">
        <is>
          <t>Governing Board</t>
        </is>
      </c>
      <c r="V9" s="62" t="inlineStr">
        <is>
          <t>Q4</t>
        </is>
      </c>
      <c r="W9" s="62" t="inlineStr">
        <is>
          <t>Complete</t>
        </is>
      </c>
      <c r="X9" s="62" t="inlineStr">
        <is>
          <t>Quarterly</t>
        </is>
      </c>
      <c r="Y9" s="43" t="n">
        <v>90</v>
      </c>
      <c r="Z9" s="62" t="n"/>
    </row>
    <row r="10">
      <c r="A10" s="62" t="inlineStr">
        <is>
          <t>Internal Process</t>
        </is>
      </c>
      <c r="B10" s="62" t="inlineStr">
        <is>
          <t>Complete</t>
        </is>
      </c>
      <c r="C10" s="62" t="inlineStr">
        <is>
          <t>County</t>
        </is>
      </c>
      <c r="F10" s="62" t="inlineStr">
        <is>
          <t>Dormant</t>
        </is>
      </c>
      <c r="H10" s="62" t="inlineStr">
        <is>
          <t>Permit or Approval</t>
        </is>
      </c>
      <c r="I10" s="62" t="inlineStr">
        <is>
          <t>Monitor</t>
        </is>
      </c>
      <c r="J10" s="62" t="inlineStr">
        <is>
          <t>Resolved Favorable</t>
        </is>
      </c>
      <c r="L10" s="62" t="inlineStr">
        <is>
          <t>Call or Correspondence</t>
        </is>
      </c>
      <c r="M10" s="62" t="inlineStr">
        <is>
          <t>Cancelled</t>
        </is>
      </c>
      <c r="O10" s="62" t="inlineStr">
        <is>
          <t>Blocked</t>
        </is>
      </c>
      <c r="Q10" s="62" t="inlineStr">
        <is>
          <t>Legal</t>
        </is>
      </c>
      <c r="S10" s="62" t="inlineStr">
        <is>
          <t>Closed</t>
        </is>
      </c>
      <c r="T10" s="62" t="inlineStr">
        <is>
          <t>Governing Board</t>
        </is>
      </c>
      <c r="X10" s="62" t="inlineStr">
        <is>
          <t>Semiannual</t>
        </is>
      </c>
      <c r="Y10" s="43" t="n">
        <v>180</v>
      </c>
      <c r="Z10" s="62" t="n"/>
    </row>
    <row r="11">
      <c r="B11" s="62" t="inlineStr">
        <is>
          <t>Deferred</t>
        </is>
      </c>
      <c r="C11" s="62" t="inlineStr">
        <is>
          <t>Municipal</t>
        </is>
      </c>
      <c r="H11" s="62" t="inlineStr">
        <is>
          <t>Agreement</t>
        </is>
      </c>
      <c r="I11" s="62" t="inlineStr">
        <is>
          <t>Undecided</t>
        </is>
      </c>
      <c r="J11" s="62" t="inlineStr">
        <is>
          <t>Resolved Unfavorable</t>
        </is>
      </c>
      <c r="L11" s="62" t="inlineStr">
        <is>
          <t>Coalition Work</t>
        </is>
      </c>
      <c r="Q11" s="62" t="inlineStr">
        <is>
          <t>Capacity</t>
        </is>
      </c>
      <c r="X11" s="62" t="inlineStr">
        <is>
          <t>As Needed</t>
        </is>
      </c>
      <c r="Y11" s="43" t="n"/>
      <c r="Z11" s="62" t="n"/>
    </row>
    <row r="12">
      <c r="C12" s="62" t="inlineStr">
        <is>
          <t>Special District</t>
        </is>
      </c>
      <c r="H12" s="62" t="inlineStr">
        <is>
          <t>Policy Guidance</t>
        </is>
      </c>
      <c r="J12" s="62" t="inlineStr">
        <is>
          <t>Inactive</t>
        </is>
      </c>
      <c r="L12" s="62" t="inlineStr">
        <is>
          <t>Site Visit</t>
        </is>
      </c>
      <c r="Q12" s="62" t="inlineStr">
        <is>
          <t>Reputational</t>
        </is>
      </c>
      <c r="Z12" s="62" t="n"/>
    </row>
    <row r="13">
      <c r="C13" s="62" t="inlineStr">
        <is>
          <t>Other</t>
        </is>
      </c>
      <c r="H13" s="62" t="inlineStr">
        <is>
          <t>Other</t>
        </is>
      </c>
      <c r="L13" s="62" t="inlineStr">
        <is>
          <t>Internal Clearance</t>
        </is>
      </c>
      <c r="Q13" s="62" t="inlineStr">
        <is>
          <t>Schedule</t>
        </is>
      </c>
      <c r="X13" s="63" t="inlineStr">
        <is>
          <t>Days between expected contacts. As Needed has no day count.</t>
        </is>
      </c>
      <c r="Z13" s="62" t="n"/>
    </row>
    <row r="14">
      <c r="L14" s="62" t="inlineStr">
        <is>
          <t>Agreement Work</t>
        </is>
      </c>
      <c r="Z14" s="62" t="n"/>
    </row>
    <row r="15">
      <c r="L15" s="62" t="inlineStr">
        <is>
          <t>Other</t>
        </is>
      </c>
      <c r="Z15" s="62" t="n"/>
    </row>
    <row r="16">
      <c r="Z16" s="62" t="n"/>
    </row>
    <row r="17">
      <c r="Z17" s="62" t="n"/>
    </row>
    <row r="18">
      <c r="Z18" s="62" t="n"/>
    </row>
    <row r="19">
      <c r="Z19" s="62" t="n"/>
    </row>
    <row r="20">
      <c r="Z20" s="62" t="n"/>
    </row>
    <row r="21">
      <c r="Z21" s="62" t="n"/>
    </row>
    <row r="22">
      <c r="Z22" s="62" t="n"/>
    </row>
    <row r="23">
      <c r="Z23" s="62" t="n"/>
    </row>
    <row r="24">
      <c r="Z24" s="62" t="n"/>
    </row>
    <row r="25">
      <c r="Z25" s="62" t="n"/>
    </row>
    <row r="26">
      <c r="Z26" s="62" t="n"/>
    </row>
    <row r="27">
      <c r="Z27" s="62" t="n"/>
    </row>
    <row r="28">
      <c r="Z28" s="62" t="n"/>
    </row>
    <row r="29">
      <c r="Z29" s="62" t="n"/>
    </row>
    <row r="30">
      <c r="Z30" s="62" t="n"/>
    </row>
    <row r="31">
      <c r="Z31" s="62" t="n"/>
    </row>
    <row r="32">
      <c r="Z32" s="62" t="n"/>
    </row>
    <row r="33">
      <c r="Z33" s="62" t="n"/>
    </row>
    <row r="34">
      <c r="Z34" s="62" t="n"/>
    </row>
    <row r="35">
      <c r="Z35" s="62" t="n"/>
    </row>
    <row r="36">
      <c r="Z36" s="62" t="n"/>
    </row>
    <row r="37">
      <c r="Z37" s="62" t="n"/>
    </row>
    <row r="38">
      <c r="Z38" s="62" t="n"/>
    </row>
    <row r="39">
      <c r="Z39" s="62" t="n"/>
    </row>
    <row r="40">
      <c r="Z40" s="62" t="n"/>
    </row>
    <row r="41">
      <c r="Z41" s="62" t="n"/>
    </row>
    <row r="42">
      <c r="Z42" s="62" t="n"/>
    </row>
    <row r="43">
      <c r="Z43" s="62" t="n"/>
    </row>
    <row r="44">
      <c r="Z44" s="62" t="n"/>
    </row>
    <row r="45">
      <c r="Z45" s="62" t="n"/>
    </row>
    <row r="46">
      <c r="Z46" s="62" t="n"/>
    </row>
    <row r="47">
      <c r="Z47" s="62" t="n"/>
    </row>
    <row r="48">
      <c r="Z48" s="62" t="n"/>
    </row>
    <row r="49">
      <c r="Z49" s="62" t="n"/>
    </row>
    <row r="50">
      <c r="Z50" s="62" t="n"/>
    </row>
    <row r="51">
      <c r="Z51" s="62" t="n"/>
    </row>
    <row r="52">
      <c r="Z52" s="62" t="n"/>
    </row>
    <row r="53">
      <c r="Z53" s="62" t="n"/>
    </row>
    <row r="54">
      <c r="Z54" s="62" t="n"/>
    </row>
    <row r="55">
      <c r="Z55" s="62" t="n"/>
    </row>
    <row r="56">
      <c r="Z56" s="62" t="n"/>
    </row>
    <row r="57">
      <c r="Z57" s="62" t="n"/>
    </row>
    <row r="58">
      <c r="Z58" s="62" t="n"/>
    </row>
    <row r="59">
      <c r="Z59" s="62" t="n"/>
    </row>
    <row r="60">
      <c r="Z60" s="62" t="n"/>
    </row>
    <row r="61">
      <c r="Z61" s="62" t="n"/>
    </row>
    <row r="62">
      <c r="Z62" s="62" t="n"/>
    </row>
    <row r="63">
      <c r="Z63" s="62" t="n"/>
    </row>
    <row r="64">
      <c r="Z64" s="62" t="n"/>
    </row>
    <row r="65">
      <c r="Z65" s="62" t="n"/>
    </row>
    <row r="67">
      <c r="Z67" s="63" t="inlineStr">
        <is>
          <t>Add names under People. They feed the Lead and Owner dropdowns.</t>
        </is>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Intergov Association</dc:creator>
  <dc:title xmlns:dc="http://purl.org/dc/elements/1.1/">Intergov Annual Strategic Plan Tracker</dc:title>
  <dcterms:created xmlns:dcterms="http://purl.org/dc/terms/" xmlns:xsi="http://www.w3.org/2001/XMLSchema-instance" xsi:type="dcterms:W3CDTF">2026-10-26T19:43:28Z</dcterms:created>
  <dcterms:modified xmlns:dcterms="http://purl.org/dc/terms/" xmlns:xsi="http://www.w3.org/2001/XMLSchema-instance" xsi:type="dcterms:W3CDTF">2026-10-26T19:43:29Z</dcterms:modified>
</cp:coreProperties>
</file>